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bookViews>
    <workbookView xWindow="-105" yWindow="-105" windowWidth="18375" windowHeight="6180" firstSheet="3" activeTab="3"/>
  </bookViews>
  <sheets>
    <sheet name="表紙" sheetId="9" r:id="rId1"/>
    <sheet name="インプットファイル" sheetId="7" r:id="rId2"/>
    <sheet name="アウトプットファイル" sheetId="8" r:id="rId3"/>
    <sheet name="算定式（修正後）" sheetId="13" r:id="rId4"/>
    <sheet name="記入例（特別徴収 例1)" sheetId="14" r:id="rId5"/>
    <sheet name="記入例（特別徴収 例2)" sheetId="15" r:id="rId6"/>
    <sheet name="記入例（普通徴収 例)" sheetId="16" r:id="rId7"/>
    <sheet name="データ標準レイアウト" sheetId="11" r:id="rId8"/>
  </sheets>
  <definedNames>
    <definedName name="_xlnm.Print_Area" localSheetId="4">'記入例（特別徴収 例1)'!$B$1:$H$144</definedName>
    <definedName name="_xlnm.Print_Area" localSheetId="5">'記入例（特別徴収 例2)'!$B$1:$H$144</definedName>
    <definedName name="_xlnm.Print_Area" localSheetId="6">'記入例（普通徴収 例)'!$B$1:$H$144</definedName>
    <definedName name="_xlnm.Print_Area" localSheetId="3">'算定式（修正後）'!$B$1:$H$144</definedName>
    <definedName name="_xlnm.Print_Area">#N/A</definedName>
    <definedName name="データ型" localSheetId="7">#REF!</definedName>
    <definedName name="データ型" localSheetId="4">#REF!</definedName>
    <definedName name="データ型" localSheetId="5">#REF!</definedName>
    <definedName name="データ型" localSheetId="6">#REF!</definedName>
    <definedName name="データ型" localSheetId="3">#REF!</definedName>
    <definedName name="データ型">#REF!</definedName>
    <definedName name="データ長" localSheetId="7">#REF!</definedName>
    <definedName name="データ長" localSheetId="4">#REF!</definedName>
    <definedName name="データ長" localSheetId="5">#REF!</definedName>
    <definedName name="データ長" localSheetId="6">#REF!</definedName>
    <definedName name="データ長" localSheetId="3">#REF!</definedName>
    <definedName name="データ長">#REF!</definedName>
    <definedName name="繰り返し" localSheetId="7">#REF!</definedName>
    <definedName name="繰り返し" localSheetId="4">#REF!</definedName>
    <definedName name="繰り返し" localSheetId="5">#REF!</definedName>
    <definedName name="繰り返し" localSheetId="6">#REF!</definedName>
    <definedName name="繰り返し" localSheetId="3">#REF!</definedName>
    <definedName name="繰り返し">#REF!</definedName>
    <definedName name="構成文字種" localSheetId="7">#REF!</definedName>
    <definedName name="構成文字種" localSheetId="4">#REF!</definedName>
    <definedName name="構成文字種" localSheetId="5">#REF!</definedName>
    <definedName name="構成文字種" localSheetId="6">#REF!</definedName>
    <definedName name="構成文字種" localSheetId="3">#REF!</definedName>
    <definedName name="構成文字種">#REF!</definedName>
    <definedName name="使用データ項目一覧" localSheetId="7">#REF!</definedName>
    <definedName name="使用データ項目一覧" localSheetId="4">#REF!</definedName>
    <definedName name="使用データ項目一覧" localSheetId="5">#REF!</definedName>
    <definedName name="使用データ項目一覧" localSheetId="6">#REF!</definedName>
    <definedName name="使用データ項目一覧" localSheetId="3">#REF!</definedName>
    <definedName name="使用データ項目一覧">#REF!</definedName>
    <definedName name="事務手続一覧" localSheetId="7">#REF!</definedName>
    <definedName name="事務手続一覧" localSheetId="4">#REF!</definedName>
    <definedName name="事務手続一覧" localSheetId="5">#REF!</definedName>
    <definedName name="事務手続一覧" localSheetId="6">#REF!</definedName>
    <definedName name="事務手続一覧" localSheetId="3">#REF!</definedName>
    <definedName name="事務手続一覧">#REF!</definedName>
    <definedName name="事務手続管理番号リスト" localSheetId="7">#REF!</definedName>
    <definedName name="事務手続管理番号リスト" localSheetId="4">#REF!</definedName>
    <definedName name="事務手続管理番号リスト" localSheetId="5">#REF!</definedName>
    <definedName name="事務手続管理番号リスト" localSheetId="6">#REF!</definedName>
    <definedName name="事務手続管理番号リスト" localSheetId="3">#REF!</definedName>
    <definedName name="事務手続管理番号リスト">#REF!</definedName>
    <definedName name="情報照会条件" localSheetId="7">#REF!</definedName>
    <definedName name="情報照会条件" localSheetId="4">#REF!</definedName>
    <definedName name="情報照会条件" localSheetId="5">#REF!</definedName>
    <definedName name="情報照会条件" localSheetId="6">#REF!</definedName>
    <definedName name="情報照会条件" localSheetId="3">#REF!</definedName>
    <definedName name="情報照会条件">#REF!</definedName>
    <definedName name="遡及限度" localSheetId="7">#REF!</definedName>
    <definedName name="遡及限度" localSheetId="4">#REF!</definedName>
    <definedName name="遡及限度" localSheetId="5">#REF!</definedName>
    <definedName name="遡及限度" localSheetId="6">#REF!</definedName>
    <definedName name="遡及限度" localSheetId="3">#REF!</definedName>
    <definedName name="遡及限度">#REF!</definedName>
    <definedName name="特定個人情報一覧" localSheetId="7">#REF!</definedName>
    <definedName name="特定個人情報一覧" localSheetId="4">#REF!</definedName>
    <definedName name="特定個人情報一覧" localSheetId="5">#REF!</definedName>
    <definedName name="特定個人情報一覧" localSheetId="6">#REF!</definedName>
    <definedName name="特定個人情報一覧" localSheetId="3">#REF!</definedName>
    <definedName name="特定個人情報一覧">#REF!</definedName>
    <definedName name="特定個人情報番号リスト" localSheetId="7">#REF!</definedName>
    <definedName name="特定個人情報番号リスト" localSheetId="4">#REF!</definedName>
    <definedName name="特定個人情報番号リスト" localSheetId="5">#REF!</definedName>
    <definedName name="特定個人情報番号リスト" localSheetId="6">#REF!</definedName>
    <definedName name="特定個人情報番号リスト" localSheetId="3">#REF!</definedName>
    <definedName name="特定個人情報番号リスト">#REF!</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7" i="16" l="1"/>
  <c r="E129" i="16" l="1"/>
  <c r="E131" i="16" s="1"/>
  <c r="G131" i="16" s="1"/>
  <c r="G126" i="16"/>
  <c r="E119" i="16"/>
  <c r="G119" i="16" s="1"/>
  <c r="G87" i="16"/>
  <c r="G85" i="16"/>
  <c r="G84" i="16"/>
  <c r="G82" i="16"/>
  <c r="G81" i="16"/>
  <c r="G80" i="16"/>
  <c r="G78" i="16"/>
  <c r="G77" i="16"/>
  <c r="G76" i="16"/>
  <c r="G75" i="16"/>
  <c r="G74" i="16"/>
  <c r="G73" i="16"/>
  <c r="G72" i="16"/>
  <c r="G71" i="16"/>
  <c r="G70" i="16"/>
  <c r="G69" i="16"/>
  <c r="G63" i="16"/>
  <c r="G62" i="16"/>
  <c r="G61" i="16"/>
  <c r="G60" i="16"/>
  <c r="G59" i="16"/>
  <c r="G58" i="16"/>
  <c r="G49" i="16"/>
  <c r="G48" i="16"/>
  <c r="G44" i="16"/>
  <c r="G43" i="16"/>
  <c r="G34" i="16"/>
  <c r="G33" i="16"/>
  <c r="G32" i="16"/>
  <c r="G31" i="16"/>
  <c r="G30" i="16"/>
  <c r="G29" i="16"/>
  <c r="G28" i="16"/>
  <c r="G26" i="16"/>
  <c r="G25" i="16"/>
  <c r="G24" i="16"/>
  <c r="G23" i="16"/>
  <c r="G22" i="16"/>
  <c r="E18" i="16"/>
  <c r="G18" i="16" s="1"/>
  <c r="G15" i="16"/>
  <c r="E15" i="16"/>
  <c r="G14" i="16"/>
  <c r="G13" i="16"/>
  <c r="G12" i="16"/>
  <c r="B5" i="16"/>
  <c r="B6" i="16" s="1"/>
  <c r="B7" i="16" s="1"/>
  <c r="B8" i="16" s="1"/>
  <c r="B9" i="16" s="1"/>
  <c r="B10" i="16" s="1"/>
  <c r="B11" i="16" s="1"/>
  <c r="B12" i="16" s="1"/>
  <c r="B13" i="16" s="1"/>
  <c r="B14" i="16" s="1"/>
  <c r="B15" i="16" s="1"/>
  <c r="B16" i="16" s="1"/>
  <c r="B17" i="16" s="1"/>
  <c r="B18" i="16" s="1"/>
  <c r="B19" i="16" s="1"/>
  <c r="B20" i="16" s="1"/>
  <c r="B21" i="16" s="1"/>
  <c r="B22" i="16" s="1"/>
  <c r="B23" i="16" s="1"/>
  <c r="B24" i="16" s="1"/>
  <c r="B25" i="16" s="1"/>
  <c r="B26" i="16" s="1"/>
  <c r="B27" i="16" s="1"/>
  <c r="B28" i="16" s="1"/>
  <c r="B29" i="16" s="1"/>
  <c r="B30" i="16" s="1"/>
  <c r="B31" i="16" s="1"/>
  <c r="B32" i="16" s="1"/>
  <c r="B33" i="16" s="1"/>
  <c r="B34" i="16" s="1"/>
  <c r="B35" i="16" s="1"/>
  <c r="B36" i="16" s="1"/>
  <c r="B37" i="16" s="1"/>
  <c r="B38" i="16" s="1"/>
  <c r="B39" i="16" s="1"/>
  <c r="B40" i="16" s="1"/>
  <c r="B41" i="16" s="1"/>
  <c r="B42" i="16" s="1"/>
  <c r="B43" i="16" s="1"/>
  <c r="B44" i="16" s="1"/>
  <c r="B45" i="16" s="1"/>
  <c r="B46" i="16" s="1"/>
  <c r="B47" i="16" s="1"/>
  <c r="B48" i="16" s="1"/>
  <c r="B49" i="16" s="1"/>
  <c r="B50" i="16" s="1"/>
  <c r="B51" i="16" s="1"/>
  <c r="B52" i="16" s="1"/>
  <c r="B53" i="16" s="1"/>
  <c r="B54" i="16" s="1"/>
  <c r="B55" i="16" s="1"/>
  <c r="B56" i="16" s="1"/>
  <c r="B57" i="16" s="1"/>
  <c r="B58" i="16" s="1"/>
  <c r="B59" i="16" s="1"/>
  <c r="B60" i="16" s="1"/>
  <c r="B61" i="16" s="1"/>
  <c r="B62" i="16" s="1"/>
  <c r="B63" i="16" s="1"/>
  <c r="B64" i="16" s="1"/>
  <c r="B65" i="16" s="1"/>
  <c r="B66" i="16" s="1"/>
  <c r="B67" i="16" s="1"/>
  <c r="B68" i="16" s="1"/>
  <c r="B69" i="16" s="1"/>
  <c r="B70" i="16" s="1"/>
  <c r="B71" i="16" s="1"/>
  <c r="B72" i="16" s="1"/>
  <c r="B73" i="16" s="1"/>
  <c r="B74" i="16" s="1"/>
  <c r="B75" i="16" s="1"/>
  <c r="B76" i="16" s="1"/>
  <c r="B77" i="16" s="1"/>
  <c r="B78" i="16" s="1"/>
  <c r="B79" i="16" s="1"/>
  <c r="B80" i="16" s="1"/>
  <c r="B81" i="16" s="1"/>
  <c r="B82" i="16" s="1"/>
  <c r="B83" i="16" s="1"/>
  <c r="B84" i="16" s="1"/>
  <c r="B85" i="16" s="1"/>
  <c r="B86" i="16" s="1"/>
  <c r="B87" i="16" s="1"/>
  <c r="B88" i="16" s="1"/>
  <c r="B89" i="16" s="1"/>
  <c r="B90" i="16" s="1"/>
  <c r="B91" i="16" s="1"/>
  <c r="B92" i="16" s="1"/>
  <c r="B93" i="16" s="1"/>
  <c r="B94" i="16" s="1"/>
  <c r="B95" i="16" s="1"/>
  <c r="B96" i="16" s="1"/>
  <c r="B97" i="16" s="1"/>
  <c r="B98" i="16" s="1"/>
  <c r="B99" i="16" s="1"/>
  <c r="B100" i="16" s="1"/>
  <c r="B101" i="16" s="1"/>
  <c r="B102" i="16" s="1"/>
  <c r="B103" i="16" s="1"/>
  <c r="B104" i="16" s="1"/>
  <c r="B105" i="16" s="1"/>
  <c r="B106" i="16" s="1"/>
  <c r="B107" i="16" s="1"/>
  <c r="B108" i="16" s="1"/>
  <c r="B109" i="16" s="1"/>
  <c r="B110" i="16" s="1"/>
  <c r="B111" i="16" s="1"/>
  <c r="B112" i="16" s="1"/>
  <c r="B113" i="16" s="1"/>
  <c r="B114" i="16" s="1"/>
  <c r="B115" i="16" s="1"/>
  <c r="B116" i="16" s="1"/>
  <c r="B117" i="16" s="1"/>
  <c r="B118" i="16" s="1"/>
  <c r="B119" i="16" s="1"/>
  <c r="B120" i="16" s="1"/>
  <c r="B121" i="16" s="1"/>
  <c r="E129" i="15"/>
  <c r="E131" i="15" s="1"/>
  <c r="G131" i="15" s="1"/>
  <c r="G126" i="15"/>
  <c r="E119" i="15"/>
  <c r="G119" i="15" s="1"/>
  <c r="G87" i="15"/>
  <c r="G85" i="15"/>
  <c r="G84" i="15"/>
  <c r="G82" i="15"/>
  <c r="G81" i="15"/>
  <c r="G80" i="15"/>
  <c r="G78" i="15"/>
  <c r="G77" i="15"/>
  <c r="G76" i="15"/>
  <c r="G75" i="15"/>
  <c r="G74" i="15"/>
  <c r="G73" i="15"/>
  <c r="G72" i="15"/>
  <c r="G71" i="15"/>
  <c r="G70" i="15"/>
  <c r="G69" i="15"/>
  <c r="G63" i="15"/>
  <c r="G62" i="15"/>
  <c r="G61" i="15"/>
  <c r="G60" i="15"/>
  <c r="G59" i="15"/>
  <c r="G58" i="15"/>
  <c r="G49" i="15"/>
  <c r="G48" i="15"/>
  <c r="G44" i="15"/>
  <c r="G43" i="15"/>
  <c r="G34" i="15"/>
  <c r="G33" i="15"/>
  <c r="G32" i="15"/>
  <c r="G31" i="15"/>
  <c r="G30" i="15"/>
  <c r="G29" i="15"/>
  <c r="G28" i="15"/>
  <c r="G26" i="15"/>
  <c r="G25" i="15"/>
  <c r="G24" i="15"/>
  <c r="G23" i="15"/>
  <c r="G22" i="15"/>
  <c r="G35" i="15" s="1"/>
  <c r="E18" i="15"/>
  <c r="G18" i="15" s="1"/>
  <c r="E15" i="15"/>
  <c r="G15" i="15" s="1"/>
  <c r="G14" i="15"/>
  <c r="G13" i="15"/>
  <c r="G12" i="15"/>
  <c r="B5" i="15"/>
  <c r="B6" i="15" s="1"/>
  <c r="B7" i="15" s="1"/>
  <c r="B8" i="15" s="1"/>
  <c r="B9" i="15" s="1"/>
  <c r="B10" i="15" s="1"/>
  <c r="B11" i="15" s="1"/>
  <c r="B12" i="15" s="1"/>
  <c r="B13" i="15" s="1"/>
  <c r="B14" i="15" s="1"/>
  <c r="B15" i="15" s="1"/>
  <c r="B16" i="15" s="1"/>
  <c r="B17" i="15" s="1"/>
  <c r="B18" i="15" s="1"/>
  <c r="B19" i="15" s="1"/>
  <c r="B20" i="15" s="1"/>
  <c r="B21" i="15" s="1"/>
  <c r="B22" i="15" s="1"/>
  <c r="B23" i="15" s="1"/>
  <c r="B24" i="15" s="1"/>
  <c r="B25" i="15" s="1"/>
  <c r="B26" i="15" s="1"/>
  <c r="B27" i="15" s="1"/>
  <c r="B28" i="15" s="1"/>
  <c r="B29" i="15" s="1"/>
  <c r="B30" i="15" s="1"/>
  <c r="B31" i="15" s="1"/>
  <c r="B32" i="15" s="1"/>
  <c r="B33" i="15" s="1"/>
  <c r="B34" i="15" s="1"/>
  <c r="B35" i="15" s="1"/>
  <c r="B36" i="15" s="1"/>
  <c r="B37" i="15" s="1"/>
  <c r="B38" i="15" s="1"/>
  <c r="B39" i="15" s="1"/>
  <c r="B40" i="15" s="1"/>
  <c r="B41" i="15" s="1"/>
  <c r="B42" i="15" s="1"/>
  <c r="B43" i="15" s="1"/>
  <c r="B44" i="15" s="1"/>
  <c r="B45" i="15" s="1"/>
  <c r="B46" i="15" s="1"/>
  <c r="B47" i="15" s="1"/>
  <c r="B48" i="15" s="1"/>
  <c r="B49" i="15" s="1"/>
  <c r="B50" i="15" s="1"/>
  <c r="B51" i="15" s="1"/>
  <c r="B52" i="15" s="1"/>
  <c r="B53" i="15" s="1"/>
  <c r="B54" i="15" s="1"/>
  <c r="B55" i="15" s="1"/>
  <c r="B56" i="15" s="1"/>
  <c r="B57" i="15" s="1"/>
  <c r="B58" i="15" s="1"/>
  <c r="B59" i="15" s="1"/>
  <c r="B60" i="15" s="1"/>
  <c r="B61" i="15" s="1"/>
  <c r="B62" i="15" s="1"/>
  <c r="B63" i="15" s="1"/>
  <c r="B64" i="15" s="1"/>
  <c r="B65" i="15" s="1"/>
  <c r="B66" i="15" s="1"/>
  <c r="B67" i="15" s="1"/>
  <c r="B68" i="15" s="1"/>
  <c r="B69" i="15" s="1"/>
  <c r="B70" i="15" s="1"/>
  <c r="B71" i="15" s="1"/>
  <c r="B72" i="15" s="1"/>
  <c r="B73" i="15" s="1"/>
  <c r="B74" i="15" s="1"/>
  <c r="B75" i="15" s="1"/>
  <c r="B76" i="15" s="1"/>
  <c r="B77" i="15" s="1"/>
  <c r="B78" i="15" s="1"/>
  <c r="B79" i="15" s="1"/>
  <c r="B80" i="15" s="1"/>
  <c r="B81" i="15" s="1"/>
  <c r="B82" i="15" s="1"/>
  <c r="B83" i="15" s="1"/>
  <c r="B84" i="15" s="1"/>
  <c r="B85" i="15" s="1"/>
  <c r="B86" i="15" s="1"/>
  <c r="B87" i="15" s="1"/>
  <c r="B88" i="15" s="1"/>
  <c r="B89" i="15" s="1"/>
  <c r="B90" i="15" s="1"/>
  <c r="B91" i="15" s="1"/>
  <c r="B92" i="15" s="1"/>
  <c r="B93" i="15" s="1"/>
  <c r="B94" i="15" s="1"/>
  <c r="B95" i="15" s="1"/>
  <c r="B96" i="15" s="1"/>
  <c r="B97" i="15" s="1"/>
  <c r="B98" i="15" s="1"/>
  <c r="B99" i="15" s="1"/>
  <c r="B100" i="15" s="1"/>
  <c r="B101" i="15" s="1"/>
  <c r="B102" i="15" s="1"/>
  <c r="B103" i="15" s="1"/>
  <c r="B104" i="15" s="1"/>
  <c r="B105" i="15" s="1"/>
  <c r="B106" i="15" s="1"/>
  <c r="B107" i="15" s="1"/>
  <c r="B108" i="15" s="1"/>
  <c r="B109" i="15" s="1"/>
  <c r="B110" i="15" s="1"/>
  <c r="B111" i="15" s="1"/>
  <c r="B112" i="15" s="1"/>
  <c r="B113" i="15" s="1"/>
  <c r="B114" i="15" s="1"/>
  <c r="B115" i="15" s="1"/>
  <c r="B116" i="15" s="1"/>
  <c r="B117" i="15" s="1"/>
  <c r="B118" i="15" s="1"/>
  <c r="B119" i="15" s="1"/>
  <c r="B120" i="15" s="1"/>
  <c r="B121" i="15" s="1"/>
  <c r="E129" i="14"/>
  <c r="E131" i="14" s="1"/>
  <c r="G131" i="14" s="1"/>
  <c r="G126" i="14"/>
  <c r="E119" i="14"/>
  <c r="G119" i="14" s="1"/>
  <c r="G87" i="14"/>
  <c r="G85" i="14"/>
  <c r="G84" i="14"/>
  <c r="G82" i="14"/>
  <c r="G81" i="14"/>
  <c r="G80" i="14"/>
  <c r="G78" i="14"/>
  <c r="G77" i="14"/>
  <c r="G76" i="14"/>
  <c r="G75" i="14"/>
  <c r="G74" i="14"/>
  <c r="G73" i="14"/>
  <c r="G72" i="14"/>
  <c r="G71" i="14"/>
  <c r="G70" i="14"/>
  <c r="G63" i="14"/>
  <c r="G62" i="14"/>
  <c r="G61" i="14"/>
  <c r="G60" i="14"/>
  <c r="G59" i="14"/>
  <c r="G58" i="14"/>
  <c r="G49" i="14"/>
  <c r="G48" i="14"/>
  <c r="G44" i="14"/>
  <c r="G43" i="14"/>
  <c r="G34" i="14"/>
  <c r="G33" i="14"/>
  <c r="G32" i="14"/>
  <c r="G31" i="14"/>
  <c r="G30" i="14"/>
  <c r="G29" i="14"/>
  <c r="G28" i="14"/>
  <c r="G26" i="14"/>
  <c r="G25" i="14"/>
  <c r="G24" i="14"/>
  <c r="G23" i="14"/>
  <c r="G22" i="14"/>
  <c r="G35" i="14" s="1"/>
  <c r="E18" i="14"/>
  <c r="G18" i="14" s="1"/>
  <c r="E15" i="14"/>
  <c r="G15" i="14" s="1"/>
  <c r="G14" i="14"/>
  <c r="G13" i="14"/>
  <c r="G12" i="14"/>
  <c r="B5" i="14"/>
  <c r="B6" i="14" s="1"/>
  <c r="B7" i="14" s="1"/>
  <c r="B8" i="14" s="1"/>
  <c r="B9" i="14" s="1"/>
  <c r="B10" i="14" s="1"/>
  <c r="B11" i="14" s="1"/>
  <c r="B12" i="14" s="1"/>
  <c r="B13" i="14" s="1"/>
  <c r="B14" i="14" s="1"/>
  <c r="B15" i="14" s="1"/>
  <c r="B16" i="14" s="1"/>
  <c r="B17" i="14" s="1"/>
  <c r="B18" i="14" s="1"/>
  <c r="B19" i="14" s="1"/>
  <c r="B20" i="14" s="1"/>
  <c r="B21" i="14" s="1"/>
  <c r="B22" i="14" s="1"/>
  <c r="B23" i="14" s="1"/>
  <c r="B24" i="14" s="1"/>
  <c r="B25" i="14" s="1"/>
  <c r="B26" i="14" s="1"/>
  <c r="B27" i="14" s="1"/>
  <c r="B28" i="14" s="1"/>
  <c r="B29" i="14" s="1"/>
  <c r="B30" i="14" s="1"/>
  <c r="B31" i="14" s="1"/>
  <c r="B32" i="14" s="1"/>
  <c r="B33" i="14" s="1"/>
  <c r="B34" i="14" s="1"/>
  <c r="B35" i="14" s="1"/>
  <c r="B36" i="14" s="1"/>
  <c r="B37" i="14" s="1"/>
  <c r="B38" i="14" s="1"/>
  <c r="B39" i="14" s="1"/>
  <c r="B40" i="14" s="1"/>
  <c r="B41" i="14" s="1"/>
  <c r="B42" i="14" s="1"/>
  <c r="B43" i="14" s="1"/>
  <c r="B44" i="14" s="1"/>
  <c r="B45" i="14" s="1"/>
  <c r="B46" i="14" s="1"/>
  <c r="B47" i="14" s="1"/>
  <c r="B48" i="14" s="1"/>
  <c r="B49" i="14" s="1"/>
  <c r="B50" i="14" s="1"/>
  <c r="B51" i="14" s="1"/>
  <c r="B52" i="14" s="1"/>
  <c r="B53" i="14" s="1"/>
  <c r="B54" i="14" s="1"/>
  <c r="B55" i="14" s="1"/>
  <c r="B56" i="14" s="1"/>
  <c r="B57" i="14" s="1"/>
  <c r="B58" i="14" s="1"/>
  <c r="B59" i="14" s="1"/>
  <c r="B60" i="14" s="1"/>
  <c r="B61" i="14" s="1"/>
  <c r="B62" i="14" s="1"/>
  <c r="B63" i="14" s="1"/>
  <c r="B64" i="14" s="1"/>
  <c r="B65" i="14" s="1"/>
  <c r="B66" i="14" s="1"/>
  <c r="B67" i="14" s="1"/>
  <c r="B68" i="14" s="1"/>
  <c r="B69" i="14" s="1"/>
  <c r="B70" i="14" s="1"/>
  <c r="B71" i="14" s="1"/>
  <c r="B72" i="14" s="1"/>
  <c r="B73" i="14" s="1"/>
  <c r="B74" i="14" s="1"/>
  <c r="B75" i="14" s="1"/>
  <c r="B76" i="14" s="1"/>
  <c r="B77" i="14" s="1"/>
  <c r="B78" i="14" s="1"/>
  <c r="B79" i="14" s="1"/>
  <c r="B80" i="14" s="1"/>
  <c r="B81" i="14" s="1"/>
  <c r="B82" i="14" s="1"/>
  <c r="B83" i="14" s="1"/>
  <c r="B84" i="14" s="1"/>
  <c r="B85" i="14" s="1"/>
  <c r="B86" i="14" s="1"/>
  <c r="B87" i="14" s="1"/>
  <c r="B88" i="14" s="1"/>
  <c r="B89" i="14" s="1"/>
  <c r="B90" i="14" s="1"/>
  <c r="B91" i="14" s="1"/>
  <c r="B92" i="14" s="1"/>
  <c r="B93" i="14" s="1"/>
  <c r="B94" i="14" s="1"/>
  <c r="B95" i="14" s="1"/>
  <c r="B96" i="14" s="1"/>
  <c r="B97" i="14" s="1"/>
  <c r="B98" i="14" s="1"/>
  <c r="B99" i="14" s="1"/>
  <c r="B100" i="14" s="1"/>
  <c r="B101" i="14" s="1"/>
  <c r="B102" i="14" s="1"/>
  <c r="B103" i="14" s="1"/>
  <c r="B104" i="14" s="1"/>
  <c r="B105" i="14" s="1"/>
  <c r="B106" i="14" s="1"/>
  <c r="B107" i="14" s="1"/>
  <c r="B108" i="14" s="1"/>
  <c r="B109" i="14" s="1"/>
  <c r="B110" i="14" s="1"/>
  <c r="B111" i="14" s="1"/>
  <c r="B112" i="14" s="1"/>
  <c r="B113" i="14" s="1"/>
  <c r="B114" i="14" s="1"/>
  <c r="B115" i="14" s="1"/>
  <c r="B116" i="14" s="1"/>
  <c r="B117" i="14" s="1"/>
  <c r="B118" i="14" s="1"/>
  <c r="B119" i="14" s="1"/>
  <c r="B120" i="14" s="1"/>
  <c r="B121" i="14" s="1"/>
  <c r="G5" i="15" l="1"/>
  <c r="G27" i="15" s="1"/>
  <c r="G88" i="15" s="1"/>
  <c r="G41" i="14"/>
  <c r="G41" i="15"/>
  <c r="G41" i="16"/>
  <c r="G45" i="16" s="1"/>
  <c r="G129" i="16"/>
  <c r="G40" i="14"/>
  <c r="G40" i="15"/>
  <c r="G5" i="16"/>
  <c r="G27" i="16" s="1"/>
  <c r="G65" i="16" s="1"/>
  <c r="G40" i="16"/>
  <c r="G35" i="16"/>
  <c r="E134" i="15"/>
  <c r="G134" i="15" s="1"/>
  <c r="G132" i="15"/>
  <c r="G132" i="14"/>
  <c r="E134" i="14"/>
  <c r="G134" i="14" s="1"/>
  <c r="G5" i="14"/>
  <c r="G27" i="14" s="1"/>
  <c r="G36" i="16"/>
  <c r="G37" i="16" s="1"/>
  <c r="G42" i="16"/>
  <c r="G46" i="16" s="1"/>
  <c r="G132" i="16"/>
  <c r="E134" i="16"/>
  <c r="G45" i="15"/>
  <c r="G42" i="15"/>
  <c r="G46" i="15" s="1"/>
  <c r="G36" i="15"/>
  <c r="G37" i="15" s="1"/>
  <c r="G129" i="15"/>
  <c r="G66" i="15"/>
  <c r="G45" i="14"/>
  <c r="G42" i="14"/>
  <c r="G46" i="14" s="1"/>
  <c r="G36" i="14"/>
  <c r="G37" i="14" s="1"/>
  <c r="G129" i="14"/>
  <c r="E129" i="13"/>
  <c r="G129" i="13" s="1"/>
  <c r="G126" i="13"/>
  <c r="E119" i="13"/>
  <c r="G119" i="13" s="1"/>
  <c r="G87" i="13"/>
  <c r="G85" i="13"/>
  <c r="G84" i="13"/>
  <c r="G82" i="13"/>
  <c r="G81" i="13"/>
  <c r="G80" i="13"/>
  <c r="G78" i="13"/>
  <c r="G77" i="13"/>
  <c r="G76" i="13"/>
  <c r="G75" i="13"/>
  <c r="G74" i="13"/>
  <c r="G73" i="13"/>
  <c r="G72" i="13"/>
  <c r="G71" i="13"/>
  <c r="G70" i="13"/>
  <c r="G63" i="13"/>
  <c r="G62" i="13"/>
  <c r="G61" i="13"/>
  <c r="G60" i="13"/>
  <c r="G59" i="13"/>
  <c r="G58" i="13"/>
  <c r="G49" i="13"/>
  <c r="G48" i="13"/>
  <c r="G44" i="13"/>
  <c r="G43" i="13"/>
  <c r="G34" i="13"/>
  <c r="G33" i="13"/>
  <c r="G32" i="13"/>
  <c r="G31" i="13"/>
  <c r="G30" i="13"/>
  <c r="G29" i="13"/>
  <c r="G28" i="13"/>
  <c r="G27" i="13"/>
  <c r="G66" i="13" s="1"/>
  <c r="G26" i="13"/>
  <c r="G25" i="13"/>
  <c r="G24" i="13"/>
  <c r="G23" i="13"/>
  <c r="G22" i="13"/>
  <c r="G35" i="13" s="1"/>
  <c r="E18" i="13"/>
  <c r="G18" i="13" s="1"/>
  <c r="E15" i="13"/>
  <c r="G15" i="13" s="1"/>
  <c r="G14" i="13"/>
  <c r="G13" i="13"/>
  <c r="G12" i="13"/>
  <c r="B5" i="13"/>
  <c r="B6" i="13" s="1"/>
  <c r="B7" i="13" s="1"/>
  <c r="B8" i="13" s="1"/>
  <c r="B9" i="13" s="1"/>
  <c r="B10" i="13" s="1"/>
  <c r="B11" i="13" s="1"/>
  <c r="B12" i="13" s="1"/>
  <c r="B13" i="13" s="1"/>
  <c r="B14" i="13" s="1"/>
  <c r="B15" i="13" s="1"/>
  <c r="B16" i="13" s="1"/>
  <c r="B17" i="13" s="1"/>
  <c r="B18" i="13" s="1"/>
  <c r="B19" i="13" s="1"/>
  <c r="B20" i="13" s="1"/>
  <c r="B21" i="13" s="1"/>
  <c r="B22" i="13" s="1"/>
  <c r="B23" i="13" s="1"/>
  <c r="B24" i="13" s="1"/>
  <c r="B25" i="13" s="1"/>
  <c r="B26" i="13" s="1"/>
  <c r="B27" i="13" s="1"/>
  <c r="B28" i="13" s="1"/>
  <c r="B29" i="13" s="1"/>
  <c r="B30" i="13" s="1"/>
  <c r="B31" i="13" s="1"/>
  <c r="B32" i="13" s="1"/>
  <c r="B33" i="13" s="1"/>
  <c r="B34" i="13" s="1"/>
  <c r="B35" i="13" s="1"/>
  <c r="B36" i="13" s="1"/>
  <c r="B37" i="13" s="1"/>
  <c r="B38" i="13" s="1"/>
  <c r="B39" i="13" s="1"/>
  <c r="B40" i="13" s="1"/>
  <c r="B41" i="13" s="1"/>
  <c r="B42" i="13" s="1"/>
  <c r="B43" i="13" s="1"/>
  <c r="B44" i="13" s="1"/>
  <c r="B45" i="13" s="1"/>
  <c r="B46" i="13" s="1"/>
  <c r="B47" i="13" s="1"/>
  <c r="B48" i="13" s="1"/>
  <c r="B49" i="13" s="1"/>
  <c r="B50" i="13" s="1"/>
  <c r="B51" i="13" s="1"/>
  <c r="B52" i="13" s="1"/>
  <c r="B53" i="13" s="1"/>
  <c r="B54" i="13" s="1"/>
  <c r="B55" i="13" s="1"/>
  <c r="B56" i="13" s="1"/>
  <c r="B57" i="13" s="1"/>
  <c r="B58" i="13" s="1"/>
  <c r="B59" i="13" s="1"/>
  <c r="B60" i="13" s="1"/>
  <c r="B61" i="13" s="1"/>
  <c r="B62" i="13" s="1"/>
  <c r="B63" i="13" s="1"/>
  <c r="B64" i="13" s="1"/>
  <c r="B65" i="13" s="1"/>
  <c r="B66" i="13" s="1"/>
  <c r="B67" i="13" s="1"/>
  <c r="B68" i="13" s="1"/>
  <c r="B69" i="13" s="1"/>
  <c r="B70" i="13" s="1"/>
  <c r="B71" i="13" s="1"/>
  <c r="B72" i="13" s="1"/>
  <c r="B73" i="13" s="1"/>
  <c r="B74" i="13" s="1"/>
  <c r="B75" i="13" s="1"/>
  <c r="B76" i="13" s="1"/>
  <c r="B77" i="13" s="1"/>
  <c r="B78" i="13" s="1"/>
  <c r="B79" i="13" s="1"/>
  <c r="B80" i="13" s="1"/>
  <c r="B81" i="13" s="1"/>
  <c r="B82" i="13" s="1"/>
  <c r="B83" i="13" s="1"/>
  <c r="B84" i="13" s="1"/>
  <c r="B85" i="13" s="1"/>
  <c r="B86" i="13" s="1"/>
  <c r="B87" i="13" s="1"/>
  <c r="B88" i="13" s="1"/>
  <c r="B89" i="13" s="1"/>
  <c r="B90" i="13" s="1"/>
  <c r="B91" i="13" s="1"/>
  <c r="B92" i="13" s="1"/>
  <c r="B93" i="13" s="1"/>
  <c r="B94" i="13" s="1"/>
  <c r="B95" i="13" s="1"/>
  <c r="B96" i="13" s="1"/>
  <c r="B97" i="13" s="1"/>
  <c r="B98" i="13" s="1"/>
  <c r="B99" i="13" s="1"/>
  <c r="B100" i="13" s="1"/>
  <c r="B101" i="13" s="1"/>
  <c r="B102" i="13" s="1"/>
  <c r="B103" i="13" s="1"/>
  <c r="B104" i="13" s="1"/>
  <c r="B105" i="13" s="1"/>
  <c r="B106" i="13" s="1"/>
  <c r="B107" i="13" s="1"/>
  <c r="B108" i="13" s="1"/>
  <c r="B109" i="13" s="1"/>
  <c r="B110" i="13" s="1"/>
  <c r="B111" i="13" s="1"/>
  <c r="B112" i="13" s="1"/>
  <c r="B113" i="13" s="1"/>
  <c r="B114" i="13" s="1"/>
  <c r="B115" i="13" s="1"/>
  <c r="B116" i="13" s="1"/>
  <c r="B117" i="13" s="1"/>
  <c r="B118" i="13" s="1"/>
  <c r="B119" i="13" s="1"/>
  <c r="B120" i="13" s="1"/>
  <c r="B121" i="13" s="1"/>
  <c r="G67" i="16" l="1"/>
  <c r="G89" i="16" s="1"/>
  <c r="G65" i="15"/>
  <c r="G88" i="16"/>
  <c r="G41" i="13"/>
  <c r="G66" i="16"/>
  <c r="G67" i="15"/>
  <c r="G89" i="15" s="1"/>
  <c r="G40" i="13"/>
  <c r="G5" i="13"/>
  <c r="G88" i="14"/>
  <c r="G65" i="14"/>
  <c r="G69" i="14"/>
  <c r="E135" i="15"/>
  <c r="G135" i="15" s="1"/>
  <c r="E135" i="14"/>
  <c r="G135" i="14" s="1"/>
  <c r="G66" i="14"/>
  <c r="G67" i="14"/>
  <c r="G47" i="16"/>
  <c r="G51" i="16" s="1"/>
  <c r="G50" i="16"/>
  <c r="E135" i="16"/>
  <c r="G135" i="16" s="1"/>
  <c r="G134" i="16"/>
  <c r="G38" i="16"/>
  <c r="G39" i="16" s="1"/>
  <c r="G47" i="15"/>
  <c r="G51" i="15" s="1"/>
  <c r="G50" i="15"/>
  <c r="G38" i="15"/>
  <c r="G39" i="15" s="1"/>
  <c r="G50" i="14"/>
  <c r="G47" i="14"/>
  <c r="G51" i="14" s="1"/>
  <c r="G38" i="14"/>
  <c r="G39" i="14" s="1"/>
  <c r="G69" i="13"/>
  <c r="E131" i="13"/>
  <c r="G131" i="13" s="1"/>
  <c r="G132" i="13" s="1"/>
  <c r="G88" i="13"/>
  <c r="G45" i="13"/>
  <c r="G42" i="13"/>
  <c r="G46" i="13" s="1"/>
  <c r="G36" i="13"/>
  <c r="G37" i="13" s="1"/>
  <c r="G67" i="13"/>
  <c r="E134" i="13"/>
  <c r="G65" i="13"/>
  <c r="G89" i="14" l="1"/>
  <c r="G91" i="14" s="1"/>
  <c r="G52" i="16"/>
  <c r="G53" i="16" s="1"/>
  <c r="G91" i="16"/>
  <c r="G52" i="15"/>
  <c r="G53" i="15" s="1"/>
  <c r="G91" i="15"/>
  <c r="G52" i="14"/>
  <c r="G53" i="14" s="1"/>
  <c r="G89" i="13"/>
  <c r="G47" i="13"/>
  <c r="G51" i="13" s="1"/>
  <c r="G50" i="13"/>
  <c r="E135" i="13"/>
  <c r="G135" i="13" s="1"/>
  <c r="G134" i="13"/>
  <c r="G38" i="13"/>
  <c r="G39" i="13" s="1"/>
  <c r="G54" i="16" l="1"/>
  <c r="G55" i="16" s="1"/>
  <c r="G92" i="16"/>
  <c r="G93" i="16" s="1"/>
  <c r="G92" i="15"/>
  <c r="G93" i="15" s="1"/>
  <c r="G54" i="15"/>
  <c r="G55" i="15" s="1"/>
  <c r="G92" i="14"/>
  <c r="G93" i="14" s="1"/>
  <c r="G54" i="14"/>
  <c r="G55" i="14" s="1"/>
  <c r="G52" i="13"/>
  <c r="G53" i="13" s="1"/>
  <c r="G91" i="13"/>
  <c r="G112" i="16" l="1"/>
  <c r="G118" i="16" s="1"/>
  <c r="G94" i="16"/>
  <c r="G95" i="16" s="1"/>
  <c r="G56" i="16"/>
  <c r="G56" i="15"/>
  <c r="G112" i="15"/>
  <c r="G118" i="15" s="1"/>
  <c r="G94" i="15"/>
  <c r="G95" i="15" s="1"/>
  <c r="G56" i="14"/>
  <c r="G112" i="14"/>
  <c r="G118" i="14" s="1"/>
  <c r="G94" i="14"/>
  <c r="G95" i="14" s="1"/>
  <c r="G92" i="13"/>
  <c r="G93" i="13" s="1"/>
  <c r="G54" i="13"/>
  <c r="G55" i="13" s="1"/>
  <c r="G96" i="16" l="1"/>
  <c r="G97" i="16" s="1"/>
  <c r="G98" i="16" s="1"/>
  <c r="G99" i="16" s="1"/>
  <c r="G100" i="16" s="1"/>
  <c r="G101" i="16" s="1"/>
  <c r="G102" i="16" s="1"/>
  <c r="G103" i="16" s="1"/>
  <c r="G104" i="16" s="1"/>
  <c r="G105" i="16" s="1"/>
  <c r="G110" i="16"/>
  <c r="G96" i="15"/>
  <c r="G97" i="15" s="1"/>
  <c r="G98" i="15" s="1"/>
  <c r="G99" i="15" s="1"/>
  <c r="G100" i="15" s="1"/>
  <c r="G101" i="15" s="1"/>
  <c r="G102" i="15" s="1"/>
  <c r="G103" i="15" s="1"/>
  <c r="G104" i="15" s="1"/>
  <c r="G105" i="15" s="1"/>
  <c r="G110" i="15"/>
  <c r="G116" i="15" s="1"/>
  <c r="G96" i="14"/>
  <c r="G97" i="14" s="1"/>
  <c r="G98" i="14" s="1"/>
  <c r="G99" i="14" s="1"/>
  <c r="G100" i="14" s="1"/>
  <c r="G101" i="14" s="1"/>
  <c r="G102" i="14" s="1"/>
  <c r="G103" i="14" s="1"/>
  <c r="G104" i="14" s="1"/>
  <c r="G105" i="14" s="1"/>
  <c r="G110" i="14"/>
  <c r="G116" i="14" s="1"/>
  <c r="G56" i="13"/>
  <c r="G112" i="13"/>
  <c r="G118" i="13" s="1"/>
  <c r="G94" i="13"/>
  <c r="G95" i="13" s="1"/>
  <c r="G116" i="16" l="1"/>
  <c r="G111" i="16"/>
  <c r="G117" i="16" s="1"/>
  <c r="G106" i="16"/>
  <c r="G107" i="16" s="1"/>
  <c r="G108" i="16" s="1"/>
  <c r="G114" i="16" s="1"/>
  <c r="G121" i="16" s="1"/>
  <c r="E133" i="16" s="1"/>
  <c r="G133" i="16" s="1"/>
  <c r="G109" i="16"/>
  <c r="G115" i="16" s="1"/>
  <c r="G106" i="15"/>
  <c r="G107" i="15" s="1"/>
  <c r="G108" i="15" s="1"/>
  <c r="G114" i="15" s="1"/>
  <c r="G109" i="15"/>
  <c r="G115" i="15" s="1"/>
  <c r="G111" i="15"/>
  <c r="G117" i="15" s="1"/>
  <c r="G106" i="14"/>
  <c r="G107" i="14" s="1"/>
  <c r="G108" i="14" s="1"/>
  <c r="G114" i="14" s="1"/>
  <c r="G109" i="14"/>
  <c r="G115" i="14" s="1"/>
  <c r="G111" i="14"/>
  <c r="G117" i="14" s="1"/>
  <c r="G110" i="13"/>
  <c r="G96" i="13"/>
  <c r="G97" i="13" s="1"/>
  <c r="G98" i="13" s="1"/>
  <c r="G99" i="13" s="1"/>
  <c r="G100" i="13" s="1"/>
  <c r="G101" i="13" s="1"/>
  <c r="G102" i="13" s="1"/>
  <c r="G103" i="13" s="1"/>
  <c r="G104" i="13" s="1"/>
  <c r="G105" i="13" s="1"/>
  <c r="G121" i="15" l="1"/>
  <c r="E133" i="15" s="1"/>
  <c r="G133" i="15" s="1"/>
  <c r="G136" i="15" s="1"/>
  <c r="G136" i="16"/>
  <c r="G137" i="16" s="1"/>
  <c r="G138" i="16" s="1"/>
  <c r="G121" i="14"/>
  <c r="E133" i="14" s="1"/>
  <c r="G133" i="14" s="1"/>
  <c r="G109" i="13"/>
  <c r="G115" i="13" s="1"/>
  <c r="G106" i="13"/>
  <c r="G107" i="13" s="1"/>
  <c r="G108" i="13" s="1"/>
  <c r="G114" i="13" s="1"/>
  <c r="G116" i="13"/>
  <c r="G111" i="13"/>
  <c r="G117" i="13" s="1"/>
  <c r="G137" i="15" l="1"/>
  <c r="G138" i="15" s="1"/>
  <c r="G136" i="14"/>
  <c r="G137" i="14" s="1"/>
  <c r="G138" i="14" s="1"/>
  <c r="G121" i="13"/>
  <c r="E133" i="13" s="1"/>
  <c r="G133" i="13" s="1"/>
  <c r="G136" i="13" l="1"/>
  <c r="G137" i="13" s="1"/>
  <c r="G138" i="13" s="1"/>
</calcChain>
</file>

<file path=xl/comments1.xml><?xml version="1.0" encoding="utf-8"?>
<comments xmlns="http://schemas.openxmlformats.org/spreadsheetml/2006/main">
  <authors>
    <author>作成者</author>
  </authors>
  <commentList>
    <comment ref="G121" authorId="0" shapeId="0">
      <text>
        <r>
          <rPr>
            <b/>
            <sz val="9"/>
            <color indexed="81"/>
            <rFont val="MS P ゴシック"/>
            <family val="3"/>
            <charset val="128"/>
          </rPr>
          <t>or関数で表示</t>
        </r>
      </text>
    </comment>
  </commentList>
</comments>
</file>

<file path=xl/comments2.xml><?xml version="1.0" encoding="utf-8"?>
<comments xmlns="http://schemas.openxmlformats.org/spreadsheetml/2006/main">
  <authors>
    <author>作成者</author>
  </authors>
  <commentList>
    <comment ref="G121" authorId="0" shapeId="0">
      <text>
        <r>
          <rPr>
            <b/>
            <sz val="9"/>
            <color indexed="81"/>
            <rFont val="MS P ゴシック"/>
            <family val="3"/>
            <charset val="128"/>
          </rPr>
          <t>or関数で表示</t>
        </r>
      </text>
    </comment>
  </commentList>
</comments>
</file>

<file path=xl/comments3.xml><?xml version="1.0" encoding="utf-8"?>
<comments xmlns="http://schemas.openxmlformats.org/spreadsheetml/2006/main">
  <authors>
    <author>作成者</author>
  </authors>
  <commentList>
    <comment ref="G121" authorId="0" shapeId="0">
      <text>
        <r>
          <rPr>
            <b/>
            <sz val="9"/>
            <color indexed="81"/>
            <rFont val="MS P ゴシック"/>
            <family val="3"/>
            <charset val="128"/>
          </rPr>
          <t>or関数で表示</t>
        </r>
      </text>
    </comment>
  </commentList>
</comments>
</file>

<file path=xl/comments4.xml><?xml version="1.0" encoding="utf-8"?>
<comments xmlns="http://schemas.openxmlformats.org/spreadsheetml/2006/main">
  <authors>
    <author>作成者</author>
  </authors>
  <commentList>
    <comment ref="E7" authorId="0" shapeId="0">
      <text>
        <r>
          <rPr>
            <b/>
            <sz val="9"/>
            <color indexed="81"/>
            <rFont val="MS P ゴシック"/>
            <family val="3"/>
            <charset val="128"/>
          </rPr>
          <t>年金所得等下記に記載のない所得はここに含めます。</t>
        </r>
      </text>
    </comment>
    <comment ref="G121" authorId="0" shapeId="0">
      <text>
        <r>
          <rPr>
            <b/>
            <sz val="9"/>
            <color indexed="81"/>
            <rFont val="MS P ゴシック"/>
            <family val="3"/>
            <charset val="128"/>
          </rPr>
          <t>or関数で表示</t>
        </r>
      </text>
    </comment>
  </commentList>
</comments>
</file>

<file path=xl/sharedStrings.xml><?xml version="1.0" encoding="utf-8"?>
<sst xmlns="http://schemas.openxmlformats.org/spreadsheetml/2006/main" count="2154" uniqueCount="531">
  <si>
    <t>【本ファイルについて】</t>
    <rPh sb="1" eb="2">
      <t>ホン</t>
    </rPh>
    <phoneticPr fontId="1"/>
  </si>
  <si>
    <t>算定ツールを利用するにあたり必要となるファイルのフォーマットを記載しています。</t>
    <rPh sb="0" eb="2">
      <t>サンテイ</t>
    </rPh>
    <rPh sb="6" eb="8">
      <t>リヨウ</t>
    </rPh>
    <rPh sb="14" eb="16">
      <t>ヒツヨウ</t>
    </rPh>
    <rPh sb="31" eb="33">
      <t>キサイ</t>
    </rPh>
    <phoneticPr fontId="1"/>
  </si>
  <si>
    <t>給付支援サービスへのインプットファイル取り込み可能な期間については、システムやNW負荷を考慮し、自治体ごとに別途日程を調整させていただく予定です。</t>
    <rPh sb="0" eb="4">
      <t>キュウフシエン</t>
    </rPh>
    <rPh sb="19" eb="20">
      <t>ト</t>
    </rPh>
    <rPh sb="21" eb="22">
      <t>コ</t>
    </rPh>
    <rPh sb="23" eb="25">
      <t>カノウ</t>
    </rPh>
    <rPh sb="26" eb="28">
      <t>キカン</t>
    </rPh>
    <rPh sb="41" eb="43">
      <t>フカ</t>
    </rPh>
    <rPh sb="44" eb="46">
      <t>コウリョ</t>
    </rPh>
    <rPh sb="48" eb="51">
      <t>ジチタイ</t>
    </rPh>
    <rPh sb="54" eb="56">
      <t>ベット</t>
    </rPh>
    <rPh sb="56" eb="58">
      <t>ニッテイ</t>
    </rPh>
    <rPh sb="59" eb="61">
      <t>チョウセイ</t>
    </rPh>
    <rPh sb="68" eb="70">
      <t>ヨテイ</t>
    </rPh>
    <phoneticPr fontId="1"/>
  </si>
  <si>
    <t>なお、給付支援サービスへ給付対象者を登録可能な形式でのファイルを別途ダウンロードを可能とする予定です。仕様については後日ご案内いたします。</t>
    <rPh sb="3" eb="7">
      <t>キュウフシエン</t>
    </rPh>
    <rPh sb="12" eb="14">
      <t>キュウフ</t>
    </rPh>
    <rPh sb="14" eb="17">
      <t>タイショウシャ</t>
    </rPh>
    <rPh sb="18" eb="20">
      <t>トウロク</t>
    </rPh>
    <rPh sb="20" eb="22">
      <t>カノウ</t>
    </rPh>
    <rPh sb="23" eb="25">
      <t>ケイシキ</t>
    </rPh>
    <rPh sb="32" eb="34">
      <t>ベット</t>
    </rPh>
    <rPh sb="41" eb="43">
      <t>カノウ</t>
    </rPh>
    <rPh sb="46" eb="48">
      <t>ヨテイ</t>
    </rPh>
    <rPh sb="51" eb="53">
      <t>シヨウ</t>
    </rPh>
    <rPh sb="58" eb="60">
      <t>ゴジツ</t>
    </rPh>
    <rPh sb="61" eb="63">
      <t>アンナイ</t>
    </rPh>
    <phoneticPr fontId="1"/>
  </si>
  <si>
    <t>【各シートの記載内容】</t>
    <rPh sb="1" eb="2">
      <t>カク</t>
    </rPh>
    <rPh sb="6" eb="10">
      <t>キサイナイヨウ</t>
    </rPh>
    <phoneticPr fontId="1"/>
  </si>
  <si>
    <t>「インプットファイル」シート：給付支援サービスにアップロードする算定ツールファイルの詳細仕様について記載しています。</t>
    <rPh sb="15" eb="19">
      <t>キュウフシエン</t>
    </rPh>
    <rPh sb="32" eb="34">
      <t>サンテイ</t>
    </rPh>
    <rPh sb="42" eb="44">
      <t>ショウサイ</t>
    </rPh>
    <rPh sb="44" eb="46">
      <t>シヨウ</t>
    </rPh>
    <rPh sb="50" eb="52">
      <t>キサイ</t>
    </rPh>
    <phoneticPr fontId="1"/>
  </si>
  <si>
    <t>「アウトプットファイル」シート：算定結果ファイルの詳細仕様について記載しています。</t>
    <rPh sb="16" eb="20">
      <t>サンテイケッカ</t>
    </rPh>
    <rPh sb="25" eb="29">
      <t>ショウサイシヨウ</t>
    </rPh>
    <rPh sb="33" eb="35">
      <t>キサイ</t>
    </rPh>
    <phoneticPr fontId="1"/>
  </si>
  <si>
    <t>【算定ツールファイルの共通仕様】</t>
    <rPh sb="1" eb="3">
      <t>サンテイ</t>
    </rPh>
    <rPh sb="11" eb="15">
      <t>キョウツウシヨウ</t>
    </rPh>
    <phoneticPr fontId="1"/>
  </si>
  <si>
    <t>算定ツールファイルの共通仕様は以下の通りです。</t>
    <rPh sb="0" eb="2">
      <t>サンテイ</t>
    </rPh>
    <rPh sb="10" eb="14">
      <t>キョウツウシヨウ</t>
    </rPh>
    <rPh sb="15" eb="17">
      <t>イカ</t>
    </rPh>
    <rPh sb="18" eb="19">
      <t>トオ</t>
    </rPh>
    <phoneticPr fontId="1"/>
  </si>
  <si>
    <t>・ファイルフォーマット：CSV</t>
    <phoneticPr fontId="1"/>
  </si>
  <si>
    <t>・文字コード：UTF-8</t>
    <phoneticPr fontId="1"/>
  </si>
  <si>
    <t>・文字セット：全角文字の場合、文字セットのチェックなし</t>
    <phoneticPr fontId="1"/>
  </si>
  <si>
    <t>・改行：CRLF</t>
    <phoneticPr fontId="1"/>
  </si>
  <si>
    <t>・区切り文字：カンマ（,）</t>
    <phoneticPr fontId="1"/>
  </si>
  <si>
    <t>・ヘッダレコード：あり</t>
    <phoneticPr fontId="1"/>
  </si>
  <si>
    <t>・文字囲み：値を設定する場合は、ダブルクォーテーション（,”AAA”,）で値を囲むこと。</t>
    <rPh sb="6" eb="7">
      <t>アタイ</t>
    </rPh>
    <rPh sb="8" eb="10">
      <t>セッテイ</t>
    </rPh>
    <rPh sb="12" eb="14">
      <t>バアイ</t>
    </rPh>
    <rPh sb="37" eb="38">
      <t>アタイ</t>
    </rPh>
    <rPh sb="39" eb="40">
      <t>カコ</t>
    </rPh>
    <phoneticPr fontId="1"/>
  </si>
  <si>
    <t>　　　　　　　　任意項目で値を設定しない場合もダブルクォーテーションで空文字を囲むこと。（,””,）</t>
    <phoneticPr fontId="1"/>
  </si>
  <si>
    <t>・必須項目で設定するデータを自治体内で保持していない場合は0を設定すること。（,”0”,）（「NULL」は設定しないこと）</t>
    <rPh sb="1" eb="3">
      <t>ヒッス</t>
    </rPh>
    <rPh sb="3" eb="5">
      <t>コウモク</t>
    </rPh>
    <rPh sb="6" eb="8">
      <t>セッテイ</t>
    </rPh>
    <rPh sb="14" eb="18">
      <t>ジチタイナイ</t>
    </rPh>
    <rPh sb="19" eb="21">
      <t>ホジ</t>
    </rPh>
    <rPh sb="26" eb="28">
      <t>バアイ</t>
    </rPh>
    <rPh sb="31" eb="33">
      <t>セッテイ</t>
    </rPh>
    <rPh sb="53" eb="55">
      <t>セッテイ</t>
    </rPh>
    <phoneticPr fontId="1"/>
  </si>
  <si>
    <t>【インプットファイルのサンプル】</t>
    <phoneticPr fontId="1"/>
  </si>
  <si>
    <t>【アウトプットファイルのサンプル】</t>
    <phoneticPr fontId="1"/>
  </si>
  <si>
    <t>項番</t>
    <rPh sb="0" eb="2">
      <t>コウバン</t>
    </rPh>
    <phoneticPr fontId="1"/>
  </si>
  <si>
    <t>項目</t>
  </si>
  <si>
    <t>必須/任意　（必須：○、任意：△、不要：―）</t>
    <rPh sb="0" eb="2">
      <t>ヒッス</t>
    </rPh>
    <rPh sb="3" eb="5">
      <t>ニンイ</t>
    </rPh>
    <rPh sb="7" eb="9">
      <t>ヒッス</t>
    </rPh>
    <rPh sb="12" eb="14">
      <t>ニンイ</t>
    </rPh>
    <rPh sb="17" eb="19">
      <t>フヨウ</t>
    </rPh>
    <phoneticPr fontId="1"/>
  </si>
  <si>
    <t>データ型</t>
  </si>
  <si>
    <t>最大桁数</t>
    <rPh sb="0" eb="2">
      <t>サイダイ</t>
    </rPh>
    <phoneticPr fontId="1"/>
  </si>
  <si>
    <t>固定長/可変長</t>
    <rPh sb="4" eb="7">
      <t>カヘンチョウ</t>
    </rPh>
    <phoneticPr fontId="1"/>
  </si>
  <si>
    <t>データ項目説明</t>
    <rPh sb="3" eb="7">
      <t>コウモクセツメイ</t>
    </rPh>
    <phoneticPr fontId="1"/>
  </si>
  <si>
    <t>データ標準レイアウト項番</t>
    <rPh sb="3" eb="5">
      <t>ヒョウジュン</t>
    </rPh>
    <rPh sb="10" eb="12">
      <t>コウバン</t>
    </rPh>
    <phoneticPr fontId="1"/>
  </si>
  <si>
    <t>推計所得税額の算出が必要な団体</t>
    <rPh sb="0" eb="6">
      <t>スイケイショトクゼイガク</t>
    </rPh>
    <rPh sb="7" eb="9">
      <t>サンシュツ</t>
    </rPh>
    <rPh sb="10" eb="12">
      <t>ヒツヨウ</t>
    </rPh>
    <rPh sb="13" eb="15">
      <t>ダンタイ</t>
    </rPh>
    <phoneticPr fontId="1"/>
  </si>
  <si>
    <t>推計所得税額の算出が不要な団体</t>
    <rPh sb="0" eb="6">
      <t>スイケイショトクゼイガク</t>
    </rPh>
    <rPh sb="7" eb="9">
      <t>サンシュツ</t>
    </rPh>
    <rPh sb="10" eb="12">
      <t>フヨウ</t>
    </rPh>
    <rPh sb="13" eb="15">
      <t>ダンタイ</t>
    </rPh>
    <phoneticPr fontId="1"/>
  </si>
  <si>
    <t>自治体コード</t>
  </si>
  <si>
    <t>○</t>
  </si>
  <si>
    <t>半角数字</t>
    <phoneticPr fontId="1"/>
  </si>
  <si>
    <t>固定</t>
    <rPh sb="0" eb="2">
      <t>コテイ</t>
    </rPh>
    <phoneticPr fontId="1"/>
  </si>
  <si>
    <t>総務省が定めた全国地方公共団体コード</t>
    <phoneticPr fontId="1"/>
  </si>
  <si>
    <t>‐</t>
    <phoneticPr fontId="1"/>
  </si>
  <si>
    <t>宛名番号（税務システム）</t>
    <rPh sb="5" eb="7">
      <t>ゼイム</t>
    </rPh>
    <phoneticPr fontId="1"/>
  </si>
  <si>
    <t>〇</t>
    <phoneticPr fontId="1"/>
  </si>
  <si>
    <t>〇</t>
  </si>
  <si>
    <t>可変</t>
    <phoneticPr fontId="1"/>
  </si>
  <si>
    <t>税務システムで管理されている、個人住民税の情報に紐づく宛名番号</t>
    <rPh sb="0" eb="2">
      <t>ゼイム</t>
    </rPh>
    <rPh sb="7" eb="9">
      <t>カンリ</t>
    </rPh>
    <rPh sb="15" eb="20">
      <t>コジンジュウミンゼイ</t>
    </rPh>
    <rPh sb="21" eb="23">
      <t>ジョウホウ</t>
    </rPh>
    <rPh sb="24" eb="25">
      <t>ヒモ</t>
    </rPh>
    <rPh sb="27" eb="31">
      <t>アテナバンゴウ</t>
    </rPh>
    <phoneticPr fontId="1"/>
  </si>
  <si>
    <t>宛名番号（給付支援サービス利用）</t>
    <rPh sb="5" eb="7">
      <t>キュウフ</t>
    </rPh>
    <rPh sb="7" eb="9">
      <t>シエン</t>
    </rPh>
    <rPh sb="13" eb="15">
      <t>リヨウ</t>
    </rPh>
    <phoneticPr fontId="1"/>
  </si>
  <si>
    <t>△</t>
    <phoneticPr fontId="1"/>
  </si>
  <si>
    <t>給付支援サービスを利用する場合のみ入力すること（算定ツール使用時には設定せずに、給付対象者登録する際に改めて登録することも可能）
給付支援サービス内で、個人を一意に識別する情報として利用する任意の番号
例：団体内統合宛名番号や住民記録システムの宛名番号等を設定</t>
    <rPh sb="65" eb="69">
      <t>キュウフシエン</t>
    </rPh>
    <rPh sb="73" eb="74">
      <t>ナイ</t>
    </rPh>
    <rPh sb="86" eb="88">
      <t>ジョウホウ</t>
    </rPh>
    <rPh sb="91" eb="93">
      <t>リヨウ</t>
    </rPh>
    <rPh sb="101" eb="102">
      <t>レイ</t>
    </rPh>
    <rPh sb="103" eb="106">
      <t>ダンタイナイ</t>
    </rPh>
    <rPh sb="106" eb="108">
      <t>トウゴウ</t>
    </rPh>
    <rPh sb="108" eb="112">
      <t>アテナバンゴウ</t>
    </rPh>
    <rPh sb="113" eb="117">
      <t>ジュウミンキロク</t>
    </rPh>
    <rPh sb="122" eb="126">
      <t>アテナバンゴウ</t>
    </rPh>
    <rPh sb="126" eb="127">
      <t>トウ</t>
    </rPh>
    <rPh sb="128" eb="130">
      <t>セッテイ</t>
    </rPh>
    <phoneticPr fontId="1"/>
  </si>
  <si>
    <t>氏名</t>
    <phoneticPr fontId="1"/>
  </si>
  <si>
    <t>全角文字</t>
    <rPh sb="0" eb="4">
      <t>ゼンカクモジ</t>
    </rPh>
    <phoneticPr fontId="1"/>
  </si>
  <si>
    <t>給付支援サービスを利用する場合のみ入力すること（算定ツール使用時には設定せずに、給付対象者登録する際に改めて登録することも可能）
（算定ツール使用時には設定せずに、給付対象者として登録する際に改めて登録することも可能）</t>
    <rPh sb="66" eb="68">
      <t>サンテイ</t>
    </rPh>
    <rPh sb="71" eb="74">
      <t>シヨウジ</t>
    </rPh>
    <rPh sb="76" eb="78">
      <t>セッテイ</t>
    </rPh>
    <rPh sb="82" eb="87">
      <t>キュウフタイショウシャ</t>
    </rPh>
    <rPh sb="90" eb="92">
      <t>トウロク</t>
    </rPh>
    <rPh sb="94" eb="95">
      <t>サイ</t>
    </rPh>
    <rPh sb="96" eb="97">
      <t>アラタ</t>
    </rPh>
    <rPh sb="99" eb="101">
      <t>トウロク</t>
    </rPh>
    <rPh sb="106" eb="108">
      <t>カノウ</t>
    </rPh>
    <phoneticPr fontId="1"/>
  </si>
  <si>
    <t>性別コード</t>
    <phoneticPr fontId="1"/>
  </si>
  <si>
    <t>給付支援サービスを利用する場合のみ入力すること（算定ツール使用時には設定せずに、給付対象者登録する際に改めて登録することも可能）
コード値で入力すること
・不明：0
・男：1
・女：2</t>
    <rPh sb="68" eb="69">
      <t>チ</t>
    </rPh>
    <rPh sb="70" eb="72">
      <t>ニュウリョク</t>
    </rPh>
    <phoneticPr fontId="1"/>
  </si>
  <si>
    <t>住所</t>
  </si>
  <si>
    <t>給付支援サービスを利用する場合のみ入力すること（算定ツール使用時には設定せずに、給付対象者登録する際に改めて登録することも可能）</t>
  </si>
  <si>
    <t>方書</t>
    <rPh sb="0" eb="1">
      <t>ホウ</t>
    </rPh>
    <rPh sb="1" eb="2">
      <t>ショ</t>
    </rPh>
    <phoneticPr fontId="1"/>
  </si>
  <si>
    <t>生年月日</t>
  </si>
  <si>
    <t>半角英数字記号</t>
    <rPh sb="0" eb="7">
      <t>ハンカクエイスウジキゴウ</t>
    </rPh>
    <phoneticPr fontId="1"/>
  </si>
  <si>
    <t>給付支援サービスを利用する場合のみ入力すること（算定ツール使用時には設定せずに、給付対象者登録する際に改めて登録することも可能）
YYYY-MM-DDの形式で設定すること</t>
  </si>
  <si>
    <t>給与所得額</t>
    <phoneticPr fontId="1"/>
  </si>
  <si>
    <t>―</t>
    <phoneticPr fontId="1"/>
  </si>
  <si>
    <t>13</t>
  </si>
  <si>
    <t>可変</t>
  </si>
  <si>
    <t>・給与所得額を指定する。
・所得金額調整控除適用後の額を指定する。
(0から9999999999999)</t>
  </si>
  <si>
    <t>雑所得額（総合）</t>
    <phoneticPr fontId="1"/>
  </si>
  <si>
    <t>―</t>
  </si>
  <si>
    <t>雑所得額（総合課税）を指定する。
(0から9999999999999)</t>
  </si>
  <si>
    <t>事業所得額</t>
  </si>
  <si>
    <t>事業所得額を指定する。
(-999999999999から9999999999999)</t>
  </si>
  <si>
    <t>不動産所得額</t>
  </si>
  <si>
    <t>不動産所得額を指定する。
(-999999999999から9999999999999)</t>
  </si>
  <si>
    <t>利子所得額（総合）</t>
  </si>
  <si>
    <t>利子所得額を指定する。
(0から9999999999999)</t>
  </si>
  <si>
    <t>配当所得額（総合）</t>
  </si>
  <si>
    <t>株式配当所得、外貨証券配当所得、その他証券配当所得、少額配当所得、その他配当所得の合計を指定する。
(0から9999999999999)</t>
  </si>
  <si>
    <t>譲渡所得額（総合）</t>
  </si>
  <si>
    <t>譲渡所得額（総合課税）を指定する。
内部通算後、特別控除後、長期譲渡所得1/2前の額を指定する。
(-999999999999から9999999999999)</t>
  </si>
  <si>
    <t>一時所得額（総合）</t>
  </si>
  <si>
    <t>・一時所得額を指定する。
・特別控除後の値を指定する。
・1/2前の額を指定する。
(0から9999999999999)</t>
  </si>
  <si>
    <t>上場株式等配当等所得額（申告分離）</t>
  </si>
  <si>
    <t>上場株式等に係る配当所得等の額を指定する。
上場株式等譲渡所得額との損益通算後の額を指定する。
(-999999999999から9999999999999)</t>
  </si>
  <si>
    <t>短期一般所得額（特別控除前）</t>
  </si>
  <si>
    <t>短期一般所得（内部通算後、特別控除前）を指定する。
長期一般所得、長期特定所得、長期軽課所得、短期軽減所得との内部通算後、特別控除前の額を指定する。
(-999999999999から9999999999999)</t>
  </si>
  <si>
    <t>短期軽減所得額（特別控除前）</t>
  </si>
  <si>
    <t>短期軽減所得（内部通算後、特別控除前）を指定する。
長期一般所得、長期特定所得、長期軽課所得、短期一般所得との内部通算後、特別控除前の額を指定する。
(-999999999999から9999999999999)</t>
  </si>
  <si>
    <t>長期一般所得額（特別控除前）</t>
  </si>
  <si>
    <t>長期一般所得（内部通算後、特別控除前）を指定する。
長期特定所得、長期軽課所得、短期一般所得、短期軽減所得との内部通算後、特別控除前の額を指定する。
(-999999999999から9999999999999)</t>
  </si>
  <si>
    <t>長期特定所得額</t>
  </si>
  <si>
    <t>長期特定所得（内部通算後）を指定する。
長期一般所得、長期軽課所得、短期一般所得、短期軽減所得との内部通算後の額を指定する。
(-999999999999から9999999999999)</t>
  </si>
  <si>
    <t>長期軽課所得額（特別控除前）</t>
  </si>
  <si>
    <t>長期軽課所得（内部通算後、特別控除前）を指定する。
長期一般所得、長期特定所得、短期一般所得、短期軽減所得との内部通算後、特別控除前の額を指定する。
(-999999999999から9999999999999)</t>
  </si>
  <si>
    <t>一般株式等譲渡所得額</t>
  </si>
  <si>
    <t>一般株式等に係る譲渡所得等の額を指定する。
(-999999999999から9999999999999)</t>
  </si>
  <si>
    <t>上場株式等譲渡所得額</t>
  </si>
  <si>
    <t>上場株式等に係る譲渡所得等の額を指定する。
上場株式等配当所得額との損益通算後、繰越控除適用前の額を指定する。
(-999999999999から9999999999999)</t>
  </si>
  <si>
    <t>先物取引雑所得額（申告分離）</t>
  </si>
  <si>
    <t>先物取引雑所得額を指定する。
繰越控除適用前の額を指定する。
(0から9999999999999)</t>
  </si>
  <si>
    <t>山林所得額</t>
  </si>
  <si>
    <t>・山林所得額を指定する。
・特別控除後の値を指定する。
(-999999999999から9999999999999)</t>
  </si>
  <si>
    <t>退職所得額</t>
    <phoneticPr fontId="1"/>
  </si>
  <si>
    <t>・総合課税される退職所得を指定する。
(0から9999999999999)</t>
  </si>
  <si>
    <t>純損失繰越控除額</t>
  </si>
  <si>
    <t>純損失繰越控除額を指定する。
当該年度で適用された額を指定する。
(0から9999999999999)</t>
  </si>
  <si>
    <t>雑損失繰越控除額</t>
  </si>
  <si>
    <t>雑損失繰越控除額を指定する。
当該年度で適用された額を指定する。
(0から9999999999999)</t>
  </si>
  <si>
    <t>居住用財産譲渡損失繰越控除額</t>
  </si>
  <si>
    <t>・居住用財産譲渡損失繰越控除額を指定する。
・既存システムにおいて「居住用財産譲渡損失繰越控除額」と「特定居住用財産譲渡損失繰越控除額」を合わせて1項目しか管理していない場合、当該項目に値を指定すること。
・当該年度で適用された額を指定する。
(0から9999999999999)</t>
  </si>
  <si>
    <t>特定居住用財産譲渡損失繰越控除額</t>
  </si>
  <si>
    <t>特定居住用財産譲渡損失繰越控除額を指定する。
当該年度で適用された額を指定する。
(0から9999999999999)</t>
  </si>
  <si>
    <t>上場株式等譲渡損失繰越控除額</t>
  </si>
  <si>
    <t>・上場株式等譲渡損失繰越控除額を指定する。
・既存システムにおいて「上場株式等譲渡損失繰越控除額」と「特定株式等譲渡損失繰越控除額」を合わせて1項目しか管理していない場合、当該項目に値をセットすること。
・当該年度で適用された額を指定する。
(0から9999999999999)</t>
  </si>
  <si>
    <t>特定株式等譲渡損失繰越控除額</t>
  </si>
  <si>
    <t>特定株式等譲渡損失繰越控除額を指定する。
当該年度で適用された額を指定する。
(0から9999999999999)</t>
  </si>
  <si>
    <t>先物取引差金等決済損失繰越控除額</t>
  </si>
  <si>
    <t>先物取引差金等決済損失繰越控除額を指定する。
当該年度で適用された額を指定する。
(0から9999999999999)</t>
  </si>
  <si>
    <t>特別控除額（長期一般所得）</t>
  </si>
  <si>
    <t>長期一般所得の特別控除額を指定する。
(0から9999999999999)</t>
  </si>
  <si>
    <t>特別控除額（長期軽課所得）</t>
  </si>
  <si>
    <t>長期軽課所得の特別控除額を指定する。
(0から9999999999999)</t>
  </si>
  <si>
    <t>特別控除額（短期一般所得）</t>
  </si>
  <si>
    <t>短期一般所得の特別控除額を指定する。
(0から9999999999999)</t>
  </si>
  <si>
    <t>特別控除額（短期軽減所得）</t>
  </si>
  <si>
    <t>短期軽減所得の特別控除額を指定する。
(0から9999999999999)</t>
  </si>
  <si>
    <t>雑損控除額</t>
  </si>
  <si>
    <t>11</t>
  </si>
  <si>
    <t>前年中、災害等により日常生活に必要な資産に損害を受けた場合の控除相当額を指定する。
(0から99999999999)</t>
  </si>
  <si>
    <t>医療費控除額</t>
  </si>
  <si>
    <t>前年中、本人や本人と生計をともにする親族のために医療費を支払った場合の控除相当額を指定する。
(0から99999999999)</t>
  </si>
  <si>
    <t>小規模共済等掛金控除額</t>
  </si>
  <si>
    <t>前年中、小規模企業共済法の規定による第１種共済契約の掛金、心身障害者扶養共済制度に基づく掛金を支払った場合、支払った額を指定する。
(0から99999999999)</t>
  </si>
  <si>
    <t>社会保険料控除額</t>
  </si>
  <si>
    <t>前年中、本人や本人と生計をともにする親族のために社会保険料（国民健康保険、国民年金など）を支払った場合、支払った額を指定する。
(0から99999999999)</t>
  </si>
  <si>
    <t>生命保険料控除額</t>
  </si>
  <si>
    <t>受取人が本人か配偶者又は親族となっている生命保険契約・個人年金保険契約などで、支払った額（支払った保険料‐配当を受けた金額）により控除される金額を指定する。
(0から99999999999)</t>
  </si>
  <si>
    <t>地震保険料控除額</t>
  </si>
  <si>
    <t>自己または自己と生計を一にしている配偶者その他の親族が所有している居住用家屋・生活用動産を保険の対象とする地震保険契約について支払った額により控除される金額を指定する。
(0から99999999999)</t>
  </si>
  <si>
    <t>配偶者特別控除額</t>
  </si>
  <si>
    <t>配偶者特別控除に該当する場合、その控除額を指定する。
(0から99999999999)</t>
  </si>
  <si>
    <t>配偶者控除等</t>
  </si>
  <si>
    <t>1</t>
  </si>
  <si>
    <t>固定</t>
  </si>
  <si>
    <t>配偶者控除等の有無や対象を表す区分を指定する。
0：初期値、1：一般の控除対象配偶者、2：老人控除対象配偶者、3：控除対象配偶者を除く同一生計配偶者</t>
  </si>
  <si>
    <t>一般扶養控除者数</t>
    <phoneticPr fontId="1"/>
  </si>
  <si>
    <t>納税義務者が扶養している特定、老人以外の人数を指定する。(配偶者は含まない。)
(0から99)</t>
  </si>
  <si>
    <t>特定扶養控除者数</t>
  </si>
  <si>
    <t>納税義務者が扶養している19歳以上から23歳未満の人数を指定する。(配偶者は含まない。)
(0から99)</t>
  </si>
  <si>
    <t>老人扶養控除者数</t>
  </si>
  <si>
    <t>納税義務者が扶養している老人（70歳以上）の人数を指定する。(同老を含む。配偶者は含まない。)
(0から99)</t>
  </si>
  <si>
    <t>同居老人扶養控除者数</t>
  </si>
  <si>
    <t>納税義務者が扶養している同居している老人の人数を指定する。(配偶者は含まない。)
(0から99)</t>
  </si>
  <si>
    <t>普通障害者数</t>
    <phoneticPr fontId="1"/>
  </si>
  <si>
    <t>納税義務者が扶養している普通障害者の人数を指定する。
(0から99)</t>
  </si>
  <si>
    <t>特別障害者数</t>
  </si>
  <si>
    <t>納税義務者が扶養している特別障害者の人数を指定する。（同特を含む。）
(0から99)</t>
  </si>
  <si>
    <t>同居特別障害者数</t>
  </si>
  <si>
    <t>納税義務者が扶養している特別障害者の内、同居者の人数を指定する。
(0から99)</t>
  </si>
  <si>
    <t>控除対象障害者</t>
  </si>
  <si>
    <t>・対象者自身が本人障害者控除の適用を受けている場合に指定する。
・本人が控除対象障害者の対象となっているかを表す区分を指定する。
・0：非該当、1：特別障害、2：原爆障害、3：他障害</t>
  </si>
  <si>
    <t>控除対象寡婦・ひとり親</t>
  </si>
  <si>
    <t>・本人が寡婦控除またはひとり親控除の対象となっているかを表す区分を指定する。
・0：非該当、1：寡婦、2：ひとり親</t>
  </si>
  <si>
    <t>控除対象勤労学生</t>
  </si>
  <si>
    <t>・本人が控除対象勤労学生の対象となっているかを表す区分を指定する。
・0：非該当、1：勤労学生</t>
  </si>
  <si>
    <t>市町村民税＿住宅借入金等特別税額控除額</t>
  </si>
  <si>
    <t>地方税法附則第５条の４及び第５条の４の２に規定される税額控除の金額を指定する。
(0から99999999999)</t>
  </si>
  <si>
    <t>市町村民税所得割額（定額減税前）</t>
    <phoneticPr fontId="1"/>
  </si>
  <si>
    <t>定額減税による税額控除前の市町村民税所得割額を指定する。
(0から9999999999999)</t>
    <phoneticPr fontId="1"/>
  </si>
  <si>
    <t>都道府県民税所得割額（定額減税前）</t>
    <phoneticPr fontId="1"/>
  </si>
  <si>
    <t>定額減税による税額控除前の都道府県民税所得割額を指定する。
(0から9999999999999)</t>
    <phoneticPr fontId="1"/>
  </si>
  <si>
    <t>１６歳未満扶養者数</t>
    <phoneticPr fontId="1"/>
  </si>
  <si>
    <t>2</t>
  </si>
  <si>
    <t>納税義務者が扶養している16歳未満の人数を指定する。(配偶者は含まない。)
(0から99)</t>
  </si>
  <si>
    <t>合計所得金額</t>
  </si>
  <si>
    <t>・地方税法上の合計所得金額を指定する。
・合計所得金額及び各所得項目全てセットすること。
(0から9999999999999)</t>
    <phoneticPr fontId="1"/>
  </si>
  <si>
    <t>扶養親族（控除対象配偶者含む）のうち国外居住者の数</t>
    <phoneticPr fontId="1"/>
  </si>
  <si>
    <t>扶養親族（控除対象配偶者含む）のうち国外居住者の数を指定する。</t>
    <rPh sb="26" eb="28">
      <t>シテイ</t>
    </rPh>
    <phoneticPr fontId="1"/>
  </si>
  <si>
    <t>令和６年推計所得税額（令和５年所得税額）</t>
    <phoneticPr fontId="1"/>
  </si>
  <si>
    <t>令和６年推計所得税額（令和５年所得税額）を指定する。</t>
    <rPh sb="21" eb="23">
      <t>シテイ</t>
    </rPh>
    <phoneticPr fontId="1"/>
  </si>
  <si>
    <t>所得税における扶養親族数（控除対象配偶者含む）</t>
    <phoneticPr fontId="1"/>
  </si>
  <si>
    <t xml:space="preserve">・把握していない場合は何も入力しないこと
（「０人」と把握している場合は０を入力願います）
・所得税における扶養親族数（控除対象配偶者含む）を指定する。
</t>
    <rPh sb="71" eb="73">
      <t>シテイ</t>
    </rPh>
    <phoneticPr fontId="1"/>
  </si>
  <si>
    <t>所得税における合計所得金額</t>
    <phoneticPr fontId="1"/>
  </si>
  <si>
    <t xml:space="preserve">・把握していない場合は何も入力しないこと
（「０円」と把握している場合は０を入力願います）
・所得税における合計所得金額を指定する。
</t>
    <rPh sb="61" eb="63">
      <t>シテイ</t>
    </rPh>
    <phoneticPr fontId="1"/>
  </si>
  <si>
    <t>項目</t>
    <rPh sb="0" eb="2">
      <t>コウモク</t>
    </rPh>
    <phoneticPr fontId="1"/>
  </si>
  <si>
    <t>備考</t>
    <rPh sb="0" eb="2">
      <t>ビコウ</t>
    </rPh>
    <phoneticPr fontId="1"/>
  </si>
  <si>
    <t>半角数字</t>
    <rPh sb="0" eb="4">
      <t>ハンカクスウジ</t>
    </rPh>
    <phoneticPr fontId="1"/>
  </si>
  <si>
    <t>可変</t>
    <rPh sb="0" eb="2">
      <t>カヘン</t>
    </rPh>
    <phoneticPr fontId="1"/>
  </si>
  <si>
    <t>-</t>
    <phoneticPr fontId="1"/>
  </si>
  <si>
    <t>インプットファイルで項目が設定されていた場合に出力</t>
    <rPh sb="10" eb="12">
      <t>コウモク</t>
    </rPh>
    <rPh sb="13" eb="15">
      <t>セッテイ</t>
    </rPh>
    <rPh sb="20" eb="22">
      <t>バアイ</t>
    </rPh>
    <rPh sb="23" eb="25">
      <t>シュツリョク</t>
    </rPh>
    <phoneticPr fontId="1"/>
  </si>
  <si>
    <t>氏名</t>
    <rPh sb="0" eb="2">
      <t>シメイ</t>
    </rPh>
    <phoneticPr fontId="2"/>
  </si>
  <si>
    <t>性別コード</t>
    <rPh sb="0" eb="2">
      <t>セイベツ</t>
    </rPh>
    <phoneticPr fontId="2"/>
  </si>
  <si>
    <t>半角数字</t>
  </si>
  <si>
    <t>住所</t>
    <rPh sb="0" eb="2">
      <t>ジュウショ</t>
    </rPh>
    <phoneticPr fontId="2"/>
  </si>
  <si>
    <t>生年月日</t>
    <rPh sb="0" eb="4">
      <t>セイネンガッピ</t>
    </rPh>
    <phoneticPr fontId="2"/>
  </si>
  <si>
    <t>令和６年度個人住民税所得割額</t>
    <rPh sb="0" eb="2">
      <t>レイワ</t>
    </rPh>
    <rPh sb="3" eb="5">
      <t>ネンド</t>
    </rPh>
    <rPh sb="5" eb="7">
      <t>コジン</t>
    </rPh>
    <rPh sb="7" eb="10">
      <t>ジュウミンゼイ</t>
    </rPh>
    <rPh sb="10" eb="12">
      <t>ショトク</t>
    </rPh>
    <rPh sb="12" eb="13">
      <t>ワリ</t>
    </rPh>
    <rPh sb="13" eb="14">
      <t>ガク</t>
    </rPh>
    <phoneticPr fontId="2"/>
  </si>
  <si>
    <t>個人住民税における扶養親族数（控除対象配偶者含み、国外居住者除く）</t>
    <rPh sb="0" eb="5">
      <t>コジンジュウミンゼイ</t>
    </rPh>
    <rPh sb="9" eb="14">
      <t>フヨウシンゾクスウ</t>
    </rPh>
    <rPh sb="15" eb="19">
      <t>コウジョタイショウ</t>
    </rPh>
    <rPh sb="19" eb="22">
      <t>ハイグウシャ</t>
    </rPh>
    <rPh sb="22" eb="23">
      <t>フク</t>
    </rPh>
    <rPh sb="25" eb="27">
      <t>コクガイ</t>
    </rPh>
    <rPh sb="27" eb="30">
      <t>キョジュウシャ</t>
    </rPh>
    <rPh sb="30" eb="31">
      <t>ノゾ</t>
    </rPh>
    <phoneticPr fontId="2"/>
  </si>
  <si>
    <t>個人住民税定額減税可能額</t>
    <rPh sb="0" eb="2">
      <t>コジン</t>
    </rPh>
    <rPh sb="2" eb="5">
      <t>ジュウミンゼイ</t>
    </rPh>
    <rPh sb="5" eb="12">
      <t>テイガクゲンゼイカノウガク</t>
    </rPh>
    <phoneticPr fontId="2"/>
  </si>
  <si>
    <t>個人住民税控除不足額</t>
    <rPh sb="0" eb="5">
      <t>コジンジュウミンゼイ</t>
    </rPh>
    <rPh sb="5" eb="10">
      <t>コウジョフソクガク</t>
    </rPh>
    <phoneticPr fontId="2"/>
  </si>
  <si>
    <t>令和６年推計所得税額（令和５年所得税額）</t>
    <rPh sb="0" eb="2">
      <t>レイワ</t>
    </rPh>
    <rPh sb="3" eb="4">
      <t>ネン</t>
    </rPh>
    <rPh sb="4" eb="10">
      <t>スイケイショトクゼイガク</t>
    </rPh>
    <rPh sb="11" eb="13">
      <t>レイワ</t>
    </rPh>
    <rPh sb="14" eb="15">
      <t>ネン</t>
    </rPh>
    <rPh sb="15" eb="18">
      <t>ショトクゼイ</t>
    </rPh>
    <rPh sb="18" eb="19">
      <t>ガク</t>
    </rPh>
    <phoneticPr fontId="2"/>
  </si>
  <si>
    <t>所得税における扶養親族数（控除対象配偶者含み、国外居住者除く）</t>
    <rPh sb="0" eb="3">
      <t>ショトクゼイ</t>
    </rPh>
    <rPh sb="7" eb="12">
      <t>フヨウシンゾクスウ</t>
    </rPh>
    <rPh sb="13" eb="15">
      <t>コウジョ</t>
    </rPh>
    <rPh sb="15" eb="17">
      <t>タイショウ</t>
    </rPh>
    <rPh sb="17" eb="20">
      <t>ハイグウシャ</t>
    </rPh>
    <rPh sb="20" eb="21">
      <t>フク</t>
    </rPh>
    <rPh sb="23" eb="25">
      <t>コクガイ</t>
    </rPh>
    <rPh sb="25" eb="28">
      <t>キョジュウシャ</t>
    </rPh>
    <rPh sb="28" eb="29">
      <t>ノゾ</t>
    </rPh>
    <phoneticPr fontId="2"/>
  </si>
  <si>
    <t>所得税定額減税可能額</t>
    <rPh sb="0" eb="3">
      <t>ショトクゼイ</t>
    </rPh>
    <rPh sb="3" eb="7">
      <t>テイガクゲンゼイ</t>
    </rPh>
    <rPh sb="7" eb="10">
      <t>カノウガク</t>
    </rPh>
    <phoneticPr fontId="2"/>
  </si>
  <si>
    <t>所得税控除不足額</t>
    <rPh sb="0" eb="8">
      <t>ショトクゼイコウジョブソクガク</t>
    </rPh>
    <phoneticPr fontId="2"/>
  </si>
  <si>
    <t>調整給付額（円単位）</t>
    <rPh sb="0" eb="5">
      <t>チョウセイキュウフガク</t>
    </rPh>
    <rPh sb="6" eb="9">
      <t>エンタンイ</t>
    </rPh>
    <phoneticPr fontId="2"/>
  </si>
  <si>
    <t>調整給付額（万円単位）</t>
    <rPh sb="0" eb="5">
      <t>チョウセイキュウフガク</t>
    </rPh>
    <rPh sb="6" eb="7">
      <t>マン</t>
    </rPh>
    <rPh sb="7" eb="8">
      <t>エン</t>
    </rPh>
    <phoneticPr fontId="2"/>
  </si>
  <si>
    <t>●令和６年度の個人住民税課税情報から令和５年分の所得税額を算定する式 ＋ 調整給付額を算定する式</t>
    <rPh sb="12" eb="14">
      <t>カゼイ</t>
    </rPh>
    <rPh sb="29" eb="31">
      <t>サンテイ</t>
    </rPh>
    <rPh sb="43" eb="45">
      <t>サンテイ</t>
    </rPh>
    <phoneticPr fontId="1"/>
  </si>
  <si>
    <t>この列の金額は円単位で入力すること</t>
    <rPh sb="2" eb="3">
      <t>レツ</t>
    </rPh>
    <rPh sb="4" eb="6">
      <t>キンガク</t>
    </rPh>
    <rPh sb="7" eb="10">
      <t>エンタンイ</t>
    </rPh>
    <rPh sb="11" eb="13">
      <t>ニュウリョク</t>
    </rPh>
    <phoneticPr fontId="1"/>
  </si>
  <si>
    <t>No</t>
    <phoneticPr fontId="1"/>
  </si>
  <si>
    <t>データ標準
レイアウト
項目No</t>
    <rPh sb="3" eb="5">
      <t>ヒョウジュン</t>
    </rPh>
    <rPh sb="12" eb="14">
      <t>コウモク</t>
    </rPh>
    <phoneticPr fontId="1"/>
  </si>
  <si>
    <t>Ｒ６年度個人住民税
課税情報</t>
    <rPh sb="2" eb="4">
      <t>ネンド</t>
    </rPh>
    <rPh sb="4" eb="6">
      <t>コジン</t>
    </rPh>
    <rPh sb="6" eb="9">
      <t>ジュウミンゼイ</t>
    </rPh>
    <rPh sb="10" eb="12">
      <t>カゼイ</t>
    </rPh>
    <rPh sb="12" eb="14">
      <t>ジョウホウ</t>
    </rPh>
    <phoneticPr fontId="1"/>
  </si>
  <si>
    <t>所得税算定
のための変換式</t>
    <rPh sb="0" eb="3">
      <t>ショトクゼイ</t>
    </rPh>
    <rPh sb="3" eb="5">
      <t>サンテイ</t>
    </rPh>
    <rPh sb="10" eb="12">
      <t>ヘンカン</t>
    </rPh>
    <rPh sb="12" eb="13">
      <t>シキ</t>
    </rPh>
    <phoneticPr fontId="1"/>
  </si>
  <si>
    <t>Ｒ５所得税額
算出情報</t>
    <rPh sb="2" eb="5">
      <t>ショトクゼイ</t>
    </rPh>
    <rPh sb="5" eb="6">
      <t>ガク</t>
    </rPh>
    <rPh sb="7" eb="9">
      <t>サンシュツ</t>
    </rPh>
    <rPh sb="9" eb="11">
      <t>ジョウホウ</t>
    </rPh>
    <phoneticPr fontId="1"/>
  </si>
  <si>
    <t>考え方</t>
    <rPh sb="0" eb="1">
      <t>カンガ</t>
    </rPh>
    <rPh sb="2" eb="3">
      <t>カタ</t>
    </rPh>
    <phoneticPr fontId="1"/>
  </si>
  <si>
    <t>■合計所得金額、総所得金額などの計算</t>
    <rPh sb="1" eb="3">
      <t>ゴウケイ</t>
    </rPh>
    <rPh sb="3" eb="5">
      <t>ショトク</t>
    </rPh>
    <rPh sb="5" eb="7">
      <t>キンガク</t>
    </rPh>
    <rPh sb="8" eb="13">
      <t>ソウショトクキンガク</t>
    </rPh>
    <rPh sb="16" eb="18">
      <t>ケイサン</t>
    </rPh>
    <phoneticPr fontId="1"/>
  </si>
  <si>
    <t>－</t>
    <phoneticPr fontId="1"/>
  </si>
  <si>
    <t>総所得金額（繰越控除前）</t>
    <rPh sb="0" eb="3">
      <t>ソウショトク</t>
    </rPh>
    <rPh sb="3" eb="5">
      <t>キンガク</t>
    </rPh>
    <rPh sb="6" eb="8">
      <t>クリコシ</t>
    </rPh>
    <rPh sb="8" eb="10">
      <t>コウジョ</t>
    </rPh>
    <rPh sb="10" eb="11">
      <t>マエ</t>
    </rPh>
    <phoneticPr fontId="1"/>
  </si>
  <si>
    <t>データ標準レイアウトの「6.総所得金額」は繰越控除を加味しているものであるため、繰越控除を加味しないものを算出。</t>
    <rPh sb="3" eb="5">
      <t>ヒョウジュン</t>
    </rPh>
    <rPh sb="14" eb="17">
      <t>ソウショトク</t>
    </rPh>
    <rPh sb="17" eb="19">
      <t>キンガク</t>
    </rPh>
    <rPh sb="21" eb="23">
      <t>クリコ</t>
    </rPh>
    <rPh sb="23" eb="25">
      <t>コウジョ</t>
    </rPh>
    <rPh sb="26" eb="28">
      <t>カミ</t>
    </rPh>
    <rPh sb="40" eb="42">
      <t>クリコ</t>
    </rPh>
    <rPh sb="42" eb="44">
      <t>コウジョ</t>
    </rPh>
    <rPh sb="45" eb="47">
      <t>カミ</t>
    </rPh>
    <rPh sb="53" eb="55">
      <t>サンシュツ</t>
    </rPh>
    <phoneticPr fontId="1"/>
  </si>
  <si>
    <t>給与所得額</t>
  </si>
  <si>
    <t>雑所得額（総合）</t>
  </si>
  <si>
    <t>×1/2</t>
    <phoneticPr fontId="1"/>
  </si>
  <si>
    <t>本来は譲渡所得額（総合）のうち長期譲渡所得のみ×1/2として算入するが、便宜上全て×1/2とする。
また、本来は損益通算後の金額を1/2とするが、簡素化のため先に1/2する。</t>
    <rPh sb="0" eb="2">
      <t>ホンライ</t>
    </rPh>
    <rPh sb="3" eb="8">
      <t>ジョウトショトクガク</t>
    </rPh>
    <rPh sb="9" eb="11">
      <t>ソウゴウ</t>
    </rPh>
    <rPh sb="15" eb="21">
      <t>チョウキジョウトショトク</t>
    </rPh>
    <rPh sb="30" eb="32">
      <t>サンニュウ</t>
    </rPh>
    <rPh sb="36" eb="39">
      <t>ベンギジョウ</t>
    </rPh>
    <rPh sb="39" eb="40">
      <t>スベ</t>
    </rPh>
    <rPh sb="53" eb="55">
      <t>ホンライ</t>
    </rPh>
    <rPh sb="56" eb="61">
      <t>ソンエキツウサンゴ</t>
    </rPh>
    <rPh sb="62" eb="64">
      <t>キンガク</t>
    </rPh>
    <rPh sb="73" eb="76">
      <t>カンソカ</t>
    </rPh>
    <rPh sb="79" eb="80">
      <t>サキ</t>
    </rPh>
    <phoneticPr fontId="1"/>
  </si>
  <si>
    <t>本来は損益通算後の金額を1/2とするが、簡素化のため先に1/2する。</t>
    <phoneticPr fontId="1"/>
  </si>
  <si>
    <t>上場株式等配当等所得額（申告分離）</t>
    <phoneticPr fontId="1"/>
  </si>
  <si>
    <t>＝</t>
    <phoneticPr fontId="1"/>
  </si>
  <si>
    <t>所得税と同額（マイナスの場合は０）。</t>
    <rPh sb="0" eb="3">
      <t>ショトクゼイ</t>
    </rPh>
    <rPh sb="4" eb="6">
      <t>ドウガク</t>
    </rPh>
    <rPh sb="12" eb="14">
      <t>バアイ</t>
    </rPh>
    <phoneticPr fontId="1"/>
  </si>
  <si>
    <t>短期譲渡所得額</t>
    <rPh sb="0" eb="2">
      <t>タンキ</t>
    </rPh>
    <rPh sb="2" eb="4">
      <t>ジョウト</t>
    </rPh>
    <rPh sb="4" eb="6">
      <t>ショトク</t>
    </rPh>
    <rPh sb="6" eb="7">
      <t>ガク</t>
    </rPh>
    <phoneticPr fontId="1"/>
  </si>
  <si>
    <t>所得税と同額（他の所得と損益通算できないため、マイナスの場合は０）。本来は長期譲渡所得と損益通算可能だが、簡素化のため考慮しない。</t>
    <rPh sb="0" eb="3">
      <t>ショトクゼイ</t>
    </rPh>
    <rPh sb="4" eb="6">
      <t>ドウガク</t>
    </rPh>
    <rPh sb="7" eb="8">
      <t>ホカ</t>
    </rPh>
    <rPh sb="9" eb="11">
      <t>ショトク</t>
    </rPh>
    <rPh sb="12" eb="14">
      <t>ソンエキ</t>
    </rPh>
    <rPh sb="14" eb="16">
      <t>ツウサン</t>
    </rPh>
    <rPh sb="28" eb="30">
      <t>バアイ</t>
    </rPh>
    <rPh sb="34" eb="36">
      <t>ホンライ</t>
    </rPh>
    <rPh sb="37" eb="43">
      <t>チョウキジョウトショトク</t>
    </rPh>
    <phoneticPr fontId="1"/>
  </si>
  <si>
    <t>短期軽減所得額（特別控除前）</t>
    <phoneticPr fontId="1"/>
  </si>
  <si>
    <t>長期譲渡所得額</t>
    <rPh sb="0" eb="2">
      <t>チョウキ</t>
    </rPh>
    <rPh sb="2" eb="4">
      <t>ジョウト</t>
    </rPh>
    <rPh sb="4" eb="6">
      <t>ショトク</t>
    </rPh>
    <rPh sb="6" eb="7">
      <t>ガク</t>
    </rPh>
    <phoneticPr fontId="1"/>
  </si>
  <si>
    <t>所得税と同額（他の所得と損益通算できないため、マイナスの場合は０）。本来は短期譲渡所得と損益通算可能だが、簡素化のため考慮しない。また、居住用損失額は簡素化のため考慮しない。</t>
    <rPh sb="0" eb="3">
      <t>ショトクゼイ</t>
    </rPh>
    <rPh sb="4" eb="6">
      <t>ドウガク</t>
    </rPh>
    <rPh sb="7" eb="8">
      <t>ホカ</t>
    </rPh>
    <rPh sb="9" eb="11">
      <t>ショトク</t>
    </rPh>
    <rPh sb="12" eb="14">
      <t>ソンエキ</t>
    </rPh>
    <rPh sb="14" eb="16">
      <t>ツウサン</t>
    </rPh>
    <rPh sb="28" eb="30">
      <t>バアイ</t>
    </rPh>
    <rPh sb="37" eb="39">
      <t>タンキ</t>
    </rPh>
    <rPh sb="68" eb="71">
      <t>キョジュウヨウ</t>
    </rPh>
    <rPh sb="71" eb="74">
      <t>ソンシツガク</t>
    </rPh>
    <rPh sb="75" eb="78">
      <t>カンソカ</t>
    </rPh>
    <rPh sb="81" eb="83">
      <t>コウリョ</t>
    </rPh>
    <phoneticPr fontId="1"/>
  </si>
  <si>
    <t>長期特定所得額</t>
    <phoneticPr fontId="1"/>
  </si>
  <si>
    <t>長期軽課所得額（特別控除前）</t>
    <phoneticPr fontId="1"/>
  </si>
  <si>
    <t>所得税と同額（他の所得と損益通算できないため、マイナスの場合は０）。</t>
    <rPh sb="0" eb="3">
      <t>ショトクゼイ</t>
    </rPh>
    <rPh sb="4" eb="6">
      <t>ドウガク</t>
    </rPh>
    <rPh sb="7" eb="8">
      <t>ホカ</t>
    </rPh>
    <rPh sb="9" eb="11">
      <t>ショトク</t>
    </rPh>
    <rPh sb="12" eb="14">
      <t>ソンエキ</t>
    </rPh>
    <rPh sb="14" eb="16">
      <t>ツウサン</t>
    </rPh>
    <rPh sb="28" eb="30">
      <t>バアイ</t>
    </rPh>
    <phoneticPr fontId="1"/>
  </si>
  <si>
    <t>山林所得額</t>
    <rPh sb="0" eb="2">
      <t>サンリン</t>
    </rPh>
    <rPh sb="2" eb="4">
      <t>ショトク</t>
    </rPh>
    <rPh sb="4" eb="5">
      <t>ガク</t>
    </rPh>
    <phoneticPr fontId="1"/>
  </si>
  <si>
    <t>所得税と同額。</t>
    <rPh sb="0" eb="3">
      <t>ショトクゼイ</t>
    </rPh>
    <rPh sb="4" eb="6">
      <t>ドウガク</t>
    </rPh>
    <phoneticPr fontId="1"/>
  </si>
  <si>
    <t>退職所得額</t>
    <rPh sb="0" eb="2">
      <t>タイショク</t>
    </rPh>
    <rPh sb="2" eb="4">
      <t>ショトク</t>
    </rPh>
    <rPh sb="4" eb="5">
      <t>ガク</t>
    </rPh>
    <phoneticPr fontId="1"/>
  </si>
  <si>
    <t>地方税法第50条の２，第328条の規定に基づき課税する退職所得（分離課税されるもの）は除く。</t>
    <rPh sb="0" eb="3">
      <t>チホウゼイ</t>
    </rPh>
    <rPh sb="3" eb="4">
      <t>ホウ</t>
    </rPh>
    <rPh sb="4" eb="5">
      <t>ダイ</t>
    </rPh>
    <rPh sb="7" eb="8">
      <t>ジョウ</t>
    </rPh>
    <rPh sb="11" eb="12">
      <t>ダイ</t>
    </rPh>
    <rPh sb="15" eb="16">
      <t>ジョウ</t>
    </rPh>
    <rPh sb="17" eb="19">
      <t>キテイ</t>
    </rPh>
    <rPh sb="20" eb="21">
      <t>モト</t>
    </rPh>
    <rPh sb="23" eb="25">
      <t>カゼイ</t>
    </rPh>
    <rPh sb="27" eb="29">
      <t>タイショク</t>
    </rPh>
    <rPh sb="29" eb="31">
      <t>ショトク</t>
    </rPh>
    <rPh sb="32" eb="34">
      <t>ブンリ</t>
    </rPh>
    <rPh sb="34" eb="36">
      <t>カゼイ</t>
    </rPh>
    <rPh sb="43" eb="44">
      <t>ノゾ</t>
    </rPh>
    <phoneticPr fontId="1"/>
  </si>
  <si>
    <t>合計所得金額</t>
    <rPh sb="0" eb="2">
      <t>ゴウケイ</t>
    </rPh>
    <rPh sb="2" eb="4">
      <t>ショトク</t>
    </rPh>
    <rPh sb="4" eb="6">
      <t>キンガク</t>
    </rPh>
    <phoneticPr fontId="1"/>
  </si>
  <si>
    <t>・No.2,11～12,15,19～23までの合計。
・条約・特例適用の利子・配当等の額は考慮しない。</t>
    <rPh sb="23" eb="25">
      <t>ゴウケイ</t>
    </rPh>
    <rPh sb="31" eb="33">
      <t>トクレイ</t>
    </rPh>
    <rPh sb="39" eb="41">
      <t>ハイトウ</t>
    </rPh>
    <rPh sb="45" eb="47">
      <t>コウリョ</t>
    </rPh>
    <phoneticPr fontId="1"/>
  </si>
  <si>
    <t>純損失繰越控除額</t>
    <phoneticPr fontId="1"/>
  </si>
  <si>
    <t>雑損失繰越控除額</t>
    <phoneticPr fontId="1"/>
  </si>
  <si>
    <t>居住用財産譲渡損失繰越控除額</t>
    <phoneticPr fontId="1"/>
  </si>
  <si>
    <t>特定居住用財産譲渡損失繰越控除額</t>
    <phoneticPr fontId="1"/>
  </si>
  <si>
    <t>上場株式等譲渡損失繰越控除額</t>
    <phoneticPr fontId="1"/>
  </si>
  <si>
    <t>特定株式等譲渡損失繰越控除額</t>
    <phoneticPr fontId="1"/>
  </si>
  <si>
    <t>先物取引差金等決済損失繰越控除額</t>
    <phoneticPr fontId="1"/>
  </si>
  <si>
    <t>一般株式等譲渡所得額（繰越控除後）</t>
    <phoneticPr fontId="1"/>
  </si>
  <si>
    <t>・No.19からNo.30を除く。
・No.19＜No.30なら、この欄の数値は「0」とし、控除しきれなかった額は以下へ引き継ぎ。</t>
    <rPh sb="14" eb="15">
      <t>ノゾ</t>
    </rPh>
    <rPh sb="35" eb="36">
      <t>ラン</t>
    </rPh>
    <rPh sb="37" eb="39">
      <t>スウチ</t>
    </rPh>
    <rPh sb="46" eb="48">
      <t>コウジョ</t>
    </rPh>
    <rPh sb="55" eb="56">
      <t>ガク</t>
    </rPh>
    <rPh sb="57" eb="59">
      <t>イカ</t>
    </rPh>
    <rPh sb="60" eb="61">
      <t>ヒ</t>
    </rPh>
    <rPh sb="62" eb="63">
      <t>ツ</t>
    </rPh>
    <phoneticPr fontId="1"/>
  </si>
  <si>
    <t>控除しきれない額</t>
    <rPh sb="0" eb="2">
      <t>コウジョ</t>
    </rPh>
    <rPh sb="7" eb="8">
      <t>ガク</t>
    </rPh>
    <phoneticPr fontId="1"/>
  </si>
  <si>
    <t>上場株式等譲渡所得額（繰越控除後）</t>
    <phoneticPr fontId="1"/>
  </si>
  <si>
    <t>・No.20からNo.29,33を除く。
・No.20＜No.29,33なら、この欄の数値は「0」とし、控除しきれなかった額は以下へ引き継ぎ。（正確には上場株式譲渡損失繰越控除額（No.29）のみ引き継がれるが、簡素化のため全て引き継がれると仮定。）</t>
    <rPh sb="52" eb="54">
      <t>コウジョ</t>
    </rPh>
    <rPh sb="61" eb="62">
      <t>ガク</t>
    </rPh>
    <rPh sb="63" eb="65">
      <t>イカ</t>
    </rPh>
    <rPh sb="66" eb="67">
      <t>ヒ</t>
    </rPh>
    <rPh sb="68" eb="69">
      <t>ツ</t>
    </rPh>
    <rPh sb="72" eb="74">
      <t>セイカク</t>
    </rPh>
    <rPh sb="76" eb="78">
      <t>ジョウジョウ</t>
    </rPh>
    <rPh sb="78" eb="80">
      <t>カブシキ</t>
    </rPh>
    <rPh sb="80" eb="82">
      <t>ジョウト</t>
    </rPh>
    <rPh sb="82" eb="84">
      <t>ソンシツ</t>
    </rPh>
    <rPh sb="84" eb="89">
      <t>クリコシコウジョガク</t>
    </rPh>
    <rPh sb="111" eb="112">
      <t>スベ</t>
    </rPh>
    <rPh sb="113" eb="114">
      <t>ヒ</t>
    </rPh>
    <rPh sb="115" eb="116">
      <t>ツ</t>
    </rPh>
    <phoneticPr fontId="1"/>
  </si>
  <si>
    <t>上場株式等配当等所得額（申告分離）（繰越控除後）</t>
    <phoneticPr fontId="1"/>
  </si>
  <si>
    <t>・No.11からNo.35を除く。
・No.11＜No.35なら、この欄の数値は「0」とする。</t>
    <phoneticPr fontId="1"/>
  </si>
  <si>
    <t>先物取引雑所得額（申告分離）（繰越控除後）</t>
    <phoneticPr fontId="1"/>
  </si>
  <si>
    <t>・No.21からNo.31を除く。
・No.21＜No.31なら、この欄の数値は「0」とする。</t>
    <phoneticPr fontId="1"/>
  </si>
  <si>
    <t>長期譲渡所得額（繰越控除後）</t>
    <rPh sb="0" eb="2">
      <t>チョウキ</t>
    </rPh>
    <rPh sb="2" eb="4">
      <t>ジョウト</t>
    </rPh>
    <rPh sb="4" eb="6">
      <t>ショトク</t>
    </rPh>
    <rPh sb="6" eb="7">
      <t>ガク</t>
    </rPh>
    <phoneticPr fontId="1"/>
  </si>
  <si>
    <t>・No.15からNo.27,28を除く。
・No.15＜No.27,28なら、この欄の数値は「0」とし、控除しきれなかった額は以下へ引き継ぎ。</t>
    <phoneticPr fontId="1"/>
  </si>
  <si>
    <t>特別控除額（長期一般所得）</t>
    <phoneticPr fontId="1"/>
  </si>
  <si>
    <r>
      <t>長期譲渡所得額</t>
    </r>
    <r>
      <rPr>
        <sz val="10"/>
        <color theme="1"/>
        <rFont val="ＭＳ ゴシック"/>
        <family val="3"/>
        <charset val="128"/>
      </rPr>
      <t>（繰越控除後・特別控除後）</t>
    </r>
    <rPh sb="0" eb="2">
      <t>チョウキ</t>
    </rPh>
    <rPh sb="2" eb="4">
      <t>ジョウト</t>
    </rPh>
    <rPh sb="4" eb="6">
      <t>ショトク</t>
    </rPh>
    <rPh sb="6" eb="7">
      <t>ガク</t>
    </rPh>
    <rPh sb="14" eb="16">
      <t>トクベツ</t>
    </rPh>
    <rPh sb="16" eb="18">
      <t>コウジョ</t>
    </rPh>
    <rPh sb="18" eb="19">
      <t>ゴ</t>
    </rPh>
    <phoneticPr fontId="1"/>
  </si>
  <si>
    <t>・No.38からNo.40,41を除く。
・No.38＜No.40,41なら、この欄の数値は「0」とする。
（繰越控除後の所得額から更に特別控除額を除くため。）</t>
    <rPh sb="17" eb="18">
      <t>ノゾ</t>
    </rPh>
    <rPh sb="41" eb="42">
      <t>ラン</t>
    </rPh>
    <rPh sb="43" eb="45">
      <t>スウチ</t>
    </rPh>
    <rPh sb="55" eb="57">
      <t>クリコ</t>
    </rPh>
    <rPh sb="57" eb="59">
      <t>コウジョ</t>
    </rPh>
    <rPh sb="59" eb="60">
      <t>ゴ</t>
    </rPh>
    <rPh sb="61" eb="64">
      <t>ショトクガク</t>
    </rPh>
    <rPh sb="66" eb="67">
      <t>サラ</t>
    </rPh>
    <rPh sb="68" eb="70">
      <t>トクベツ</t>
    </rPh>
    <rPh sb="70" eb="73">
      <t>コウジョガク</t>
    </rPh>
    <rPh sb="74" eb="75">
      <t>ノゾ</t>
    </rPh>
    <phoneticPr fontId="1"/>
  </si>
  <si>
    <t>短期譲渡所得額（繰越控除後）</t>
    <rPh sb="0" eb="2">
      <t>タンキ</t>
    </rPh>
    <rPh sb="2" eb="4">
      <t>ジョウト</t>
    </rPh>
    <rPh sb="4" eb="6">
      <t>ショトク</t>
    </rPh>
    <rPh sb="6" eb="7">
      <t>ガク</t>
    </rPh>
    <phoneticPr fontId="1"/>
  </si>
  <si>
    <t>・No.12からNo.39を除く。
・No.12＜No.39なら、この欄の数値は「0」とし、控除しきれなかった額は以下へ引き継ぎ。</t>
    <phoneticPr fontId="1"/>
  </si>
  <si>
    <r>
      <t>短期譲渡所得額</t>
    </r>
    <r>
      <rPr>
        <sz val="10"/>
        <color theme="1"/>
        <rFont val="ＭＳ ゴシック"/>
        <family val="3"/>
        <charset val="128"/>
      </rPr>
      <t>（繰越控除後・特別控除後）</t>
    </r>
    <rPh sb="0" eb="2">
      <t>タンキ</t>
    </rPh>
    <rPh sb="2" eb="4">
      <t>ジョウト</t>
    </rPh>
    <rPh sb="4" eb="6">
      <t>ショトク</t>
    </rPh>
    <rPh sb="6" eb="7">
      <t>ガク</t>
    </rPh>
    <rPh sb="14" eb="16">
      <t>トクベツ</t>
    </rPh>
    <rPh sb="16" eb="18">
      <t>コウジョ</t>
    </rPh>
    <rPh sb="18" eb="19">
      <t>ゴ</t>
    </rPh>
    <phoneticPr fontId="1"/>
  </si>
  <si>
    <t>・No.43からNo.45,46を除く。
・No.43＜No.45,46なら、この欄の数値は「0」とする。
（繰越控除後の所得額から更に特別控除額を除くため。）</t>
    <rPh sb="17" eb="18">
      <t>ノゾ</t>
    </rPh>
    <rPh sb="55" eb="57">
      <t>クリコ</t>
    </rPh>
    <rPh sb="57" eb="59">
      <t>コウジョ</t>
    </rPh>
    <rPh sb="59" eb="60">
      <t>ゴ</t>
    </rPh>
    <rPh sb="61" eb="64">
      <t>ショトクガク</t>
    </rPh>
    <rPh sb="66" eb="67">
      <t>サラ</t>
    </rPh>
    <rPh sb="68" eb="70">
      <t>トクベツ</t>
    </rPh>
    <rPh sb="70" eb="73">
      <t>コウジョガク</t>
    </rPh>
    <rPh sb="74" eb="75">
      <t>ノゾ</t>
    </rPh>
    <phoneticPr fontId="1"/>
  </si>
  <si>
    <t>総所得金額（繰越控除後）</t>
    <rPh sb="0" eb="3">
      <t>ソウショトク</t>
    </rPh>
    <rPh sb="3" eb="5">
      <t>キンガク</t>
    </rPh>
    <phoneticPr fontId="1"/>
  </si>
  <si>
    <t>・No.2からNo.25,26,44を除く。
・No.2＜No.25,26,44なら、この欄の数値は「0」とし、控除しきれなかった額は以下へ引き継ぎ。</t>
    <phoneticPr fontId="1"/>
  </si>
  <si>
    <t>山林所得額（繰越控除後）</t>
    <rPh sb="0" eb="2">
      <t>サンリン</t>
    </rPh>
    <rPh sb="2" eb="4">
      <t>ショトク</t>
    </rPh>
    <rPh sb="4" eb="5">
      <t>ガク</t>
    </rPh>
    <phoneticPr fontId="1"/>
  </si>
  <si>
    <t>・No.22からNo.49を除く。
・No.22＜No.49なら、この欄の数値は「0」とし、控除しきれなかった額は以下へ引き継ぎ。</t>
    <phoneticPr fontId="1"/>
  </si>
  <si>
    <t>退職所得額（繰越控除後）</t>
    <rPh sb="0" eb="2">
      <t>タイショク</t>
    </rPh>
    <rPh sb="2" eb="4">
      <t>ショトク</t>
    </rPh>
    <rPh sb="4" eb="5">
      <t>ガク</t>
    </rPh>
    <phoneticPr fontId="1"/>
  </si>
  <si>
    <t>・No.23からNo.51を除く。
・No.23＜No.51なら、この欄の数値は「0」とし、控除しきれなかった額は以下へ引き継ぎ。</t>
    <phoneticPr fontId="1"/>
  </si>
  <si>
    <t>■所得控除額の計算</t>
    <rPh sb="1" eb="3">
      <t>ショトク</t>
    </rPh>
    <rPh sb="3" eb="6">
      <t>コウジョガク</t>
    </rPh>
    <rPh sb="7" eb="9">
      <t>ケイサン</t>
    </rPh>
    <phoneticPr fontId="1"/>
  </si>
  <si>
    <t>雑損控除額</t>
    <phoneticPr fontId="1"/>
  </si>
  <si>
    <t>所得税と同額</t>
    <rPh sb="0" eb="3">
      <t>ショトクゼイ</t>
    </rPh>
    <rPh sb="4" eb="6">
      <t>ドウガク</t>
    </rPh>
    <phoneticPr fontId="1"/>
  </si>
  <si>
    <t>医療費控除額</t>
    <phoneticPr fontId="1"/>
  </si>
  <si>
    <t>小規模共済等掛金控除額</t>
    <phoneticPr fontId="1"/>
  </si>
  <si>
    <t>社会保険料控除額</t>
    <phoneticPr fontId="1"/>
  </si>
  <si>
    <t>生命保険料控除額</t>
    <phoneticPr fontId="1"/>
  </si>
  <si>
    <t>×4/2.8</t>
    <phoneticPr fontId="1"/>
  </si>
  <si>
    <t>所得税の契約ごとの控除限度額は4万円、
住民税の控除限度額は2.8万円なので、
住民税における控除額×4/2.8とみなす。
（全体の控除限度額は所：住＝12:7であるが、保険契約の状況は人それぞれであり、全体の控除限度額に到達している者はそれほど多くないものと仮定して、保険契約ごとの控除限度額の比で算出）</t>
    <rPh sb="0" eb="3">
      <t>ショトクゼイ</t>
    </rPh>
    <rPh sb="4" eb="6">
      <t>ケイヤク</t>
    </rPh>
    <rPh sb="9" eb="11">
      <t>コウジョ</t>
    </rPh>
    <rPh sb="11" eb="14">
      <t>ゲンドガク</t>
    </rPh>
    <rPh sb="16" eb="18">
      <t>マンエン</t>
    </rPh>
    <rPh sb="20" eb="23">
      <t>ジュウミンゼイ</t>
    </rPh>
    <rPh sb="24" eb="26">
      <t>コウジョ</t>
    </rPh>
    <rPh sb="26" eb="29">
      <t>ゲンドガク</t>
    </rPh>
    <rPh sb="33" eb="35">
      <t>マンエン</t>
    </rPh>
    <rPh sb="40" eb="43">
      <t>ジュウミンゼイ</t>
    </rPh>
    <rPh sb="47" eb="50">
      <t>コウジョガク</t>
    </rPh>
    <rPh sb="63" eb="65">
      <t>ゼンタイ</t>
    </rPh>
    <rPh sb="66" eb="68">
      <t>コウジョ</t>
    </rPh>
    <rPh sb="68" eb="71">
      <t>ゲンドガク</t>
    </rPh>
    <phoneticPr fontId="1"/>
  </si>
  <si>
    <t>地震保険料控除額</t>
    <phoneticPr fontId="1"/>
  </si>
  <si>
    <t>×10/5</t>
    <phoneticPr fontId="1"/>
  </si>
  <si>
    <t>所得税の控除限度額は5万円、
住民税の控除限度額は2.5万円なので、
住民税における控除額×10/5とみなす。</t>
    <rPh sb="0" eb="3">
      <t>ショトクゼイ</t>
    </rPh>
    <rPh sb="4" eb="6">
      <t>コウジョ</t>
    </rPh>
    <rPh sb="6" eb="9">
      <t>ゲンドガク</t>
    </rPh>
    <rPh sb="11" eb="13">
      <t>マンエン</t>
    </rPh>
    <rPh sb="15" eb="18">
      <t>ジュウミンゼイ</t>
    </rPh>
    <rPh sb="19" eb="21">
      <t>コウジョ</t>
    </rPh>
    <rPh sb="21" eb="24">
      <t>ゲンドガク</t>
    </rPh>
    <rPh sb="28" eb="30">
      <t>マンエン</t>
    </rPh>
    <phoneticPr fontId="1"/>
  </si>
  <si>
    <t>配偶者特別控除額</t>
    <rPh sb="3" eb="7">
      <t>トクベツコウジョ</t>
    </rPh>
    <rPh sb="7" eb="8">
      <t>ガク</t>
    </rPh>
    <phoneticPr fontId="1"/>
  </si>
  <si>
    <t>本人の合計所得と住民税の配偶者特別控除から所得税の配偶者特別控除を算出。
①合計所得金額900万円以下
個人住民税の控除額が33万円→38万円
　　　　　　　　　　　　　上記以外→同額
②合計所得金額900万円超950万円以下
個人住民税の控除額が22万円→26万円
　　　　　　　　　　　　　上記以外→同額
③合計所得金額950万円超1,000万円以下
個人住民税の控除額が11万円→13万円
　　　　　　　　　　　　　上記以外→同額
とする。</t>
    <rPh sb="0" eb="2">
      <t>ホンニン</t>
    </rPh>
    <rPh sb="3" eb="7">
      <t>ゴウケイショトク</t>
    </rPh>
    <rPh sb="8" eb="11">
      <t>ジュウミンゼイ</t>
    </rPh>
    <rPh sb="12" eb="15">
      <t>ハイグウシャ</t>
    </rPh>
    <rPh sb="15" eb="19">
      <t>トクベツコウジョ</t>
    </rPh>
    <rPh sb="21" eb="24">
      <t>ショトクゼイ</t>
    </rPh>
    <rPh sb="25" eb="32">
      <t>ハイグウシャトクベツコウジョ</t>
    </rPh>
    <rPh sb="33" eb="35">
      <t>サンシュツ</t>
    </rPh>
    <rPh sb="38" eb="40">
      <t>ゴウケイ</t>
    </rPh>
    <rPh sb="40" eb="42">
      <t>ショトク</t>
    </rPh>
    <rPh sb="42" eb="44">
      <t>キンガク</t>
    </rPh>
    <rPh sb="47" eb="49">
      <t>マンエン</t>
    </rPh>
    <rPh sb="49" eb="51">
      <t>イカ</t>
    </rPh>
    <rPh sb="52" eb="54">
      <t>コジン</t>
    </rPh>
    <rPh sb="54" eb="57">
      <t>ジュウミンゼイ</t>
    </rPh>
    <rPh sb="58" eb="61">
      <t>コウジョガク</t>
    </rPh>
    <rPh sb="64" eb="66">
      <t>マンエン</t>
    </rPh>
    <rPh sb="69" eb="71">
      <t>マンエン</t>
    </rPh>
    <rPh sb="85" eb="87">
      <t>ジョウキ</t>
    </rPh>
    <rPh sb="87" eb="89">
      <t>イガイ</t>
    </rPh>
    <rPh sb="90" eb="92">
      <t>ドウガク</t>
    </rPh>
    <rPh sb="105" eb="106">
      <t>チョウ</t>
    </rPh>
    <rPh sb="109" eb="111">
      <t>マンエン</t>
    </rPh>
    <rPh sb="111" eb="113">
      <t>イカ</t>
    </rPh>
    <rPh sb="114" eb="116">
      <t>コジン</t>
    </rPh>
    <rPh sb="178" eb="180">
      <t>コジン</t>
    </rPh>
    <phoneticPr fontId="1"/>
  </si>
  <si>
    <t>合計所得金額900万円以下の場合</t>
    <rPh sb="0" eb="2">
      <t>ゴウケイ</t>
    </rPh>
    <rPh sb="2" eb="4">
      <t>ショトク</t>
    </rPh>
    <rPh sb="4" eb="6">
      <t>キンガク</t>
    </rPh>
    <rPh sb="9" eb="11">
      <t>マンエン</t>
    </rPh>
    <rPh sb="11" eb="13">
      <t>イカ</t>
    </rPh>
    <rPh sb="14" eb="16">
      <t>バアイ</t>
    </rPh>
    <phoneticPr fontId="1"/>
  </si>
  <si>
    <t>合計所得金額900万円超
950万以下の場合</t>
    <rPh sb="0" eb="2">
      <t>ゴウケイ</t>
    </rPh>
    <rPh sb="2" eb="4">
      <t>ショトク</t>
    </rPh>
    <rPh sb="4" eb="6">
      <t>キンガク</t>
    </rPh>
    <rPh sb="9" eb="11">
      <t>マンエン</t>
    </rPh>
    <rPh sb="11" eb="12">
      <t>コ</t>
    </rPh>
    <rPh sb="16" eb="17">
      <t>マン</t>
    </rPh>
    <rPh sb="17" eb="19">
      <t>イカ</t>
    </rPh>
    <rPh sb="20" eb="22">
      <t>バアイ</t>
    </rPh>
    <phoneticPr fontId="1"/>
  </si>
  <si>
    <t>合計所得金額950万円超
1,000万円以下の場合</t>
    <rPh sb="0" eb="2">
      <t>ゴウケイ</t>
    </rPh>
    <rPh sb="2" eb="4">
      <t>ショトク</t>
    </rPh>
    <rPh sb="4" eb="6">
      <t>キンガク</t>
    </rPh>
    <rPh sb="9" eb="10">
      <t>マン</t>
    </rPh>
    <rPh sb="10" eb="11">
      <t>エン</t>
    </rPh>
    <rPh sb="11" eb="12">
      <t>コ</t>
    </rPh>
    <rPh sb="18" eb="20">
      <t>マンエン</t>
    </rPh>
    <rPh sb="20" eb="22">
      <t>イカ</t>
    </rPh>
    <rPh sb="23" eb="25">
      <t>バアイ</t>
    </rPh>
    <phoneticPr fontId="1"/>
  </si>
  <si>
    <t>配偶者控除等</t>
    <phoneticPr fontId="1"/>
  </si>
  <si>
    <t>1：一般の控除対象配偶者の場合</t>
  </si>
  <si>
    <t>＋380,000/＋260,000/＋130,000</t>
    <phoneticPr fontId="1"/>
  </si>
  <si>
    <t>No.65の数値とNo.24に基づき、所得税における控除額を算出。</t>
    <rPh sb="6" eb="8">
      <t>スウチ</t>
    </rPh>
    <rPh sb="15" eb="16">
      <t>モト</t>
    </rPh>
    <rPh sb="19" eb="22">
      <t>ショトクゼイ</t>
    </rPh>
    <rPh sb="26" eb="29">
      <t>コウジョガク</t>
    </rPh>
    <rPh sb="30" eb="32">
      <t>サンシュツ</t>
    </rPh>
    <phoneticPr fontId="1"/>
  </si>
  <si>
    <t>2：老人控除対象配偶者の場合</t>
    <rPh sb="12" eb="14">
      <t>バアイ</t>
    </rPh>
    <phoneticPr fontId="1"/>
  </si>
  <si>
    <t>＋480,000/＋320,000/＋160,000</t>
    <phoneticPr fontId="1"/>
  </si>
  <si>
    <t>No.65の数値とNo.24に基づき、所得税における控除額を算出。</t>
    <phoneticPr fontId="1"/>
  </si>
  <si>
    <t>3：控除対象配偶者を除く
同一生計配偶者の場合</t>
    <rPh sb="21" eb="23">
      <t>バアイ</t>
    </rPh>
    <phoneticPr fontId="1"/>
  </si>
  <si>
    <t>×0</t>
    <phoneticPr fontId="1"/>
  </si>
  <si>
    <t>No.65の回答に基づき、所得税における控除額を算出。</t>
    <rPh sb="6" eb="8">
      <t>カイトウ</t>
    </rPh>
    <rPh sb="9" eb="10">
      <t>モト</t>
    </rPh>
    <rPh sb="13" eb="16">
      <t>ショトクゼイ</t>
    </rPh>
    <rPh sb="20" eb="23">
      <t>コウジョガク</t>
    </rPh>
    <rPh sb="24" eb="26">
      <t>サンシュツ</t>
    </rPh>
    <phoneticPr fontId="1"/>
  </si>
  <si>
    <t>一般扶養控除者数</t>
    <rPh sb="2" eb="4">
      <t>フヨウ</t>
    </rPh>
    <rPh sb="4" eb="6">
      <t>コウジョ</t>
    </rPh>
    <rPh sb="6" eb="7">
      <t>モノ</t>
    </rPh>
    <rPh sb="7" eb="8">
      <t>スウ</t>
    </rPh>
    <phoneticPr fontId="1"/>
  </si>
  <si>
    <t>×380,000</t>
    <phoneticPr fontId="1"/>
  </si>
  <si>
    <t>所得税の控除額を乗じる</t>
    <rPh sb="0" eb="3">
      <t>ショトクゼイ</t>
    </rPh>
    <rPh sb="4" eb="7">
      <t>コウジョガク</t>
    </rPh>
    <rPh sb="8" eb="9">
      <t>ジョウ</t>
    </rPh>
    <phoneticPr fontId="1"/>
  </si>
  <si>
    <t>特定扶養控除者数</t>
    <rPh sb="2" eb="4">
      <t>フヨウ</t>
    </rPh>
    <rPh sb="4" eb="6">
      <t>コウジョ</t>
    </rPh>
    <phoneticPr fontId="1"/>
  </si>
  <si>
    <t>×630,000</t>
    <phoneticPr fontId="1"/>
  </si>
  <si>
    <t>老人扶養控除者数</t>
    <rPh sb="2" eb="4">
      <t>フヨウ</t>
    </rPh>
    <rPh sb="4" eb="6">
      <t>コウジョ</t>
    </rPh>
    <phoneticPr fontId="1"/>
  </si>
  <si>
    <t>×480,000</t>
    <phoneticPr fontId="1"/>
  </si>
  <si>
    <t>同居老人扶養控除者数</t>
    <rPh sb="0" eb="2">
      <t>ドウキョ</t>
    </rPh>
    <rPh sb="2" eb="4">
      <t>ロウジン</t>
    </rPh>
    <rPh sb="4" eb="6">
      <t>フヨウ</t>
    </rPh>
    <rPh sb="6" eb="8">
      <t>コウジョ</t>
    </rPh>
    <phoneticPr fontId="1"/>
  </si>
  <si>
    <t>×100,000</t>
    <phoneticPr fontId="1"/>
  </si>
  <si>
    <t>所得税の控除額（加算額）を乗じる。
（No.71の内数）</t>
    <rPh sb="0" eb="3">
      <t>ショトクゼイ</t>
    </rPh>
    <rPh sb="4" eb="7">
      <t>コウジョガク</t>
    </rPh>
    <rPh sb="8" eb="11">
      <t>カサンガク</t>
    </rPh>
    <rPh sb="13" eb="14">
      <t>ジョウ</t>
    </rPh>
    <rPh sb="25" eb="27">
      <t>ウチスウ</t>
    </rPh>
    <phoneticPr fontId="1"/>
  </si>
  <si>
    <t>普通障害者数</t>
    <rPh sb="0" eb="2">
      <t>フツウ</t>
    </rPh>
    <rPh sb="2" eb="5">
      <t>ショウガイシャ</t>
    </rPh>
    <rPh sb="5" eb="6">
      <t>スウ</t>
    </rPh>
    <phoneticPr fontId="1"/>
  </si>
  <si>
    <t>×270,000</t>
    <phoneticPr fontId="1"/>
  </si>
  <si>
    <t>特別障害者数</t>
    <rPh sb="0" eb="2">
      <t>トクベツ</t>
    </rPh>
    <rPh sb="2" eb="5">
      <t>ショウガイシャ</t>
    </rPh>
    <rPh sb="5" eb="6">
      <t>スウ</t>
    </rPh>
    <phoneticPr fontId="1"/>
  </si>
  <si>
    <t>×400,000</t>
    <phoneticPr fontId="1"/>
  </si>
  <si>
    <t>同居特別障害者数</t>
    <rPh sb="0" eb="2">
      <t>ドウキョ</t>
    </rPh>
    <rPh sb="3" eb="4">
      <t>ベツ</t>
    </rPh>
    <rPh sb="4" eb="7">
      <t>ショウガイシャ</t>
    </rPh>
    <rPh sb="7" eb="8">
      <t>スウ</t>
    </rPh>
    <phoneticPr fontId="1"/>
  </si>
  <si>
    <t>×350,000</t>
    <phoneticPr fontId="1"/>
  </si>
  <si>
    <t>所得税の控除額（加算額）を乗じる
（No.74の内数）</t>
    <rPh sb="0" eb="3">
      <t>ショトクゼイ</t>
    </rPh>
    <rPh sb="4" eb="7">
      <t>コウジョガク</t>
    </rPh>
    <rPh sb="13" eb="14">
      <t>ジョウ</t>
    </rPh>
    <phoneticPr fontId="1"/>
  </si>
  <si>
    <t>控除対象障害者</t>
    <rPh sb="0" eb="2">
      <t>コウジョ</t>
    </rPh>
    <rPh sb="2" eb="4">
      <t>タイショウ</t>
    </rPh>
    <rPh sb="4" eb="7">
      <t>ショウガイシャ</t>
    </rPh>
    <phoneticPr fontId="1"/>
  </si>
  <si>
    <t>1：特別障害の場合</t>
    <rPh sb="2" eb="4">
      <t>トクベツ</t>
    </rPh>
    <rPh sb="4" eb="6">
      <t>ショウガイ</t>
    </rPh>
    <rPh sb="7" eb="9">
      <t>バアイ</t>
    </rPh>
    <phoneticPr fontId="1"/>
  </si>
  <si>
    <t>＋400,000</t>
    <phoneticPr fontId="1"/>
  </si>
  <si>
    <t>No.76の数値に基づき、所得税における控除額を算出。</t>
    <rPh sb="6" eb="8">
      <t>スウチ</t>
    </rPh>
    <phoneticPr fontId="1"/>
  </si>
  <si>
    <t>2：原爆障害の場合</t>
    <rPh sb="2" eb="4">
      <t>ゲンバク</t>
    </rPh>
    <rPh sb="4" eb="6">
      <t>ショウガイ</t>
    </rPh>
    <rPh sb="7" eb="9">
      <t>バアイ</t>
    </rPh>
    <phoneticPr fontId="1"/>
  </si>
  <si>
    <t>3：普通障害の場合</t>
    <rPh sb="2" eb="4">
      <t>フツウ</t>
    </rPh>
    <rPh sb="4" eb="6">
      <t>ショウガイ</t>
    </rPh>
    <rPh sb="7" eb="9">
      <t>バアイ</t>
    </rPh>
    <phoneticPr fontId="1"/>
  </si>
  <si>
    <t>＋270,000</t>
    <phoneticPr fontId="1"/>
  </si>
  <si>
    <t>控除対象寡婦・ひとり親</t>
    <phoneticPr fontId="1"/>
  </si>
  <si>
    <t>1：寡婦の場合</t>
    <rPh sb="5" eb="7">
      <t>バアイ</t>
    </rPh>
    <phoneticPr fontId="1"/>
  </si>
  <si>
    <t>No.80の数値に基づき、所得税における控除額を算出。</t>
    <rPh sb="6" eb="8">
      <t>スウチ</t>
    </rPh>
    <rPh sb="9" eb="10">
      <t>モト</t>
    </rPh>
    <rPh sb="13" eb="16">
      <t>ショトクゼイ</t>
    </rPh>
    <rPh sb="20" eb="23">
      <t>コウジョガク</t>
    </rPh>
    <rPh sb="24" eb="26">
      <t>サンシュツ</t>
    </rPh>
    <phoneticPr fontId="1"/>
  </si>
  <si>
    <t>2：ひとり親の場合</t>
    <rPh sb="7" eb="9">
      <t>バアイ</t>
    </rPh>
    <phoneticPr fontId="1"/>
  </si>
  <si>
    <t>＋350,000</t>
    <phoneticPr fontId="1"/>
  </si>
  <si>
    <t>控除対象勤労学生</t>
    <phoneticPr fontId="1"/>
  </si>
  <si>
    <t>1：勤労学生の場合</t>
    <rPh sb="2" eb="4">
      <t>キンロウ</t>
    </rPh>
    <rPh sb="4" eb="6">
      <t>ガクセイ</t>
    </rPh>
    <rPh sb="7" eb="9">
      <t>バアイ</t>
    </rPh>
    <phoneticPr fontId="1"/>
  </si>
  <si>
    <t>No.83の数値に基づき、所得税における控除額を算出。</t>
    <rPh sb="6" eb="8">
      <t>スウチ</t>
    </rPh>
    <rPh sb="9" eb="10">
      <t>モト</t>
    </rPh>
    <rPh sb="13" eb="16">
      <t>ショトクゼイ</t>
    </rPh>
    <rPh sb="20" eb="23">
      <t>コウジョガク</t>
    </rPh>
    <rPh sb="24" eb="26">
      <t>サンシュツ</t>
    </rPh>
    <phoneticPr fontId="1"/>
  </si>
  <si>
    <t>基礎控除額</t>
    <rPh sb="0" eb="2">
      <t>キソ</t>
    </rPh>
    <rPh sb="2" eb="5">
      <t>コウジョガク</t>
    </rPh>
    <phoneticPr fontId="1"/>
  </si>
  <si>
    <t>No.24の合計所得金額に基づき、控除額を算出</t>
    <rPh sb="6" eb="12">
      <t>ゴウケイショトクキンガク</t>
    </rPh>
    <rPh sb="13" eb="14">
      <t>モト</t>
    </rPh>
    <rPh sb="17" eb="20">
      <t>コウジョガク</t>
    </rPh>
    <rPh sb="21" eb="23">
      <t>サンシュツ</t>
    </rPh>
    <phoneticPr fontId="1"/>
  </si>
  <si>
    <t>所得控除額合計</t>
    <rPh sb="0" eb="2">
      <t>ショトク</t>
    </rPh>
    <rPh sb="2" eb="5">
      <t>コウジョガク</t>
    </rPh>
    <rPh sb="5" eb="7">
      <t>ゴウケイ</t>
    </rPh>
    <phoneticPr fontId="1"/>
  </si>
  <si>
    <t>■課税所得金額の計算</t>
    <rPh sb="1" eb="3">
      <t>カゼイ</t>
    </rPh>
    <rPh sb="3" eb="5">
      <t>ショトク</t>
    </rPh>
    <rPh sb="5" eb="7">
      <t>キンガク</t>
    </rPh>
    <rPh sb="8" eb="10">
      <t>ケイサン</t>
    </rPh>
    <phoneticPr fontId="1"/>
  </si>
  <si>
    <t>課税　総所得金額</t>
    <rPh sb="0" eb="2">
      <t>カゼイ</t>
    </rPh>
    <rPh sb="3" eb="6">
      <t>ソウショトク</t>
    </rPh>
    <rPh sb="6" eb="8">
      <t>キンガク</t>
    </rPh>
    <phoneticPr fontId="1"/>
  </si>
  <si>
    <t>1,000円未満切捨</t>
    <rPh sb="5" eb="6">
      <t>エン</t>
    </rPh>
    <rPh sb="6" eb="8">
      <t>ミマン</t>
    </rPh>
    <rPh sb="8" eb="10">
      <t>キリス</t>
    </rPh>
    <phoneticPr fontId="1"/>
  </si>
  <si>
    <t>・No.48からNo.86を除く。
・No.48＜No.86なら、この欄の数値は「0」とし、控除しきれなかった額は以下へ引き継ぎ。</t>
    <rPh sb="14" eb="15">
      <t>ノゾ</t>
    </rPh>
    <rPh sb="35" eb="36">
      <t>ラン</t>
    </rPh>
    <rPh sb="37" eb="39">
      <t>スウチ</t>
    </rPh>
    <rPh sb="46" eb="48">
      <t>コウジョ</t>
    </rPh>
    <rPh sb="55" eb="56">
      <t>ガク</t>
    </rPh>
    <rPh sb="57" eb="59">
      <t>イカ</t>
    </rPh>
    <rPh sb="60" eb="61">
      <t>ヒ</t>
    </rPh>
    <rPh sb="62" eb="63">
      <t>ツ</t>
    </rPh>
    <phoneticPr fontId="1"/>
  </si>
  <si>
    <t>課税　短期譲渡所得額</t>
    <rPh sb="3" eb="5">
      <t>タンキ</t>
    </rPh>
    <rPh sb="5" eb="7">
      <t>ジョウト</t>
    </rPh>
    <rPh sb="7" eb="9">
      <t>ショトク</t>
    </rPh>
    <rPh sb="9" eb="10">
      <t>ガク</t>
    </rPh>
    <phoneticPr fontId="1"/>
  </si>
  <si>
    <t>・No.47からNo.89を除く。
・No.47＜No.89なら、この欄の数値は「0」とし、控除しきれなかった額は以下へ引き継ぎ。</t>
    <rPh sb="14" eb="15">
      <t>ノゾ</t>
    </rPh>
    <rPh sb="35" eb="36">
      <t>ラン</t>
    </rPh>
    <rPh sb="37" eb="39">
      <t>スウチ</t>
    </rPh>
    <rPh sb="46" eb="48">
      <t>コウジョ</t>
    </rPh>
    <rPh sb="55" eb="56">
      <t>ガク</t>
    </rPh>
    <rPh sb="57" eb="59">
      <t>イカ</t>
    </rPh>
    <rPh sb="60" eb="61">
      <t>ヒ</t>
    </rPh>
    <rPh sb="62" eb="63">
      <t>ツ</t>
    </rPh>
    <phoneticPr fontId="1"/>
  </si>
  <si>
    <t>控除しきれなかった額</t>
    <rPh sb="0" eb="2">
      <t>コウジョ</t>
    </rPh>
    <rPh sb="9" eb="10">
      <t>ガク</t>
    </rPh>
    <phoneticPr fontId="1"/>
  </si>
  <si>
    <t>課税　長期譲渡所得額</t>
    <rPh sb="3" eb="5">
      <t>チョウキ</t>
    </rPh>
    <rPh sb="5" eb="7">
      <t>ジョウト</t>
    </rPh>
    <rPh sb="7" eb="9">
      <t>ショトク</t>
    </rPh>
    <rPh sb="9" eb="10">
      <t>ガク</t>
    </rPh>
    <phoneticPr fontId="1"/>
  </si>
  <si>
    <t>・No.42からNo.91を除く。
・No.42＜No.91なら、この欄の数値は「0」とし、控除しきれなかった額は以下へ引き継ぎ。</t>
    <rPh sb="14" eb="15">
      <t>ノゾ</t>
    </rPh>
    <rPh sb="35" eb="36">
      <t>ラン</t>
    </rPh>
    <rPh sb="37" eb="39">
      <t>スウチ</t>
    </rPh>
    <rPh sb="46" eb="48">
      <t>コウジョ</t>
    </rPh>
    <rPh sb="55" eb="56">
      <t>ガク</t>
    </rPh>
    <rPh sb="57" eb="59">
      <t>イカ</t>
    </rPh>
    <rPh sb="60" eb="61">
      <t>ヒ</t>
    </rPh>
    <rPh sb="62" eb="63">
      <t>ツ</t>
    </rPh>
    <phoneticPr fontId="1"/>
  </si>
  <si>
    <t>課税　上場株式等配当等所得額（申告分離）</t>
    <phoneticPr fontId="1"/>
  </si>
  <si>
    <t>・No.36からNo.93を除く。
・No.36＜No.93なら、この欄の数値は「0」とし、控除しきれなかった額は以下へ引き継ぎ。</t>
    <rPh sb="14" eb="15">
      <t>ノゾ</t>
    </rPh>
    <rPh sb="35" eb="36">
      <t>ラン</t>
    </rPh>
    <rPh sb="37" eb="39">
      <t>スウチ</t>
    </rPh>
    <rPh sb="46" eb="48">
      <t>コウジョ</t>
    </rPh>
    <rPh sb="55" eb="56">
      <t>ガク</t>
    </rPh>
    <rPh sb="57" eb="59">
      <t>イカ</t>
    </rPh>
    <rPh sb="60" eb="61">
      <t>ヒ</t>
    </rPh>
    <rPh sb="62" eb="63">
      <t>ツ</t>
    </rPh>
    <phoneticPr fontId="1"/>
  </si>
  <si>
    <t>課税　一般株式等譲渡所得額</t>
    <rPh sb="0" eb="2">
      <t>カゼイ</t>
    </rPh>
    <phoneticPr fontId="1"/>
  </si>
  <si>
    <t>・No.32からNo.95を除く。
・No.32＜No.95なら、この欄の数値は「0」とし、控除しきれなかった額は以下へ引き継ぎ。</t>
    <rPh sb="14" eb="15">
      <t>ノゾ</t>
    </rPh>
    <rPh sb="35" eb="36">
      <t>ラン</t>
    </rPh>
    <rPh sb="37" eb="39">
      <t>スウチ</t>
    </rPh>
    <rPh sb="46" eb="48">
      <t>コウジョ</t>
    </rPh>
    <rPh sb="55" eb="56">
      <t>ガク</t>
    </rPh>
    <rPh sb="57" eb="59">
      <t>イカ</t>
    </rPh>
    <rPh sb="60" eb="61">
      <t>ヒ</t>
    </rPh>
    <rPh sb="62" eb="63">
      <t>ツ</t>
    </rPh>
    <phoneticPr fontId="1"/>
  </si>
  <si>
    <t>課税　上場株式等譲渡所得額</t>
    <rPh sb="0" eb="2">
      <t>カゼイ</t>
    </rPh>
    <phoneticPr fontId="1"/>
  </si>
  <si>
    <t>・No.34からNo.97を除く。
・No.34＜No.97なら、この欄の数値は「0」とし、控除しきれなかった額は以下へ引き継ぎ。</t>
    <rPh sb="14" eb="15">
      <t>ノゾ</t>
    </rPh>
    <rPh sb="35" eb="36">
      <t>ラン</t>
    </rPh>
    <rPh sb="37" eb="39">
      <t>スウチ</t>
    </rPh>
    <rPh sb="46" eb="48">
      <t>コウジョ</t>
    </rPh>
    <rPh sb="55" eb="56">
      <t>ガク</t>
    </rPh>
    <rPh sb="57" eb="59">
      <t>イカ</t>
    </rPh>
    <rPh sb="60" eb="61">
      <t>ヒ</t>
    </rPh>
    <rPh sb="62" eb="63">
      <t>ツ</t>
    </rPh>
    <phoneticPr fontId="1"/>
  </si>
  <si>
    <t>課税　先物取引雑所得額（申告分離）</t>
    <rPh sb="0" eb="2">
      <t>カゼイ</t>
    </rPh>
    <phoneticPr fontId="1"/>
  </si>
  <si>
    <t>・No.37からNo.99を除く。
・No.37＜No.99なら、この欄の数値は「0」とし、控除しきれなかった額は以下へ引き継ぎ。</t>
    <rPh sb="14" eb="15">
      <t>ノゾ</t>
    </rPh>
    <rPh sb="35" eb="36">
      <t>ラン</t>
    </rPh>
    <rPh sb="37" eb="39">
      <t>スウチ</t>
    </rPh>
    <rPh sb="46" eb="48">
      <t>コウジョ</t>
    </rPh>
    <rPh sb="55" eb="56">
      <t>ガク</t>
    </rPh>
    <rPh sb="57" eb="59">
      <t>イカ</t>
    </rPh>
    <rPh sb="60" eb="61">
      <t>ヒ</t>
    </rPh>
    <rPh sb="62" eb="63">
      <t>ツ</t>
    </rPh>
    <phoneticPr fontId="1"/>
  </si>
  <si>
    <t>課税　山林所得金額</t>
    <rPh sb="0" eb="2">
      <t>カゼイ</t>
    </rPh>
    <rPh sb="3" eb="5">
      <t>サンリン</t>
    </rPh>
    <rPh sb="5" eb="7">
      <t>ショトク</t>
    </rPh>
    <rPh sb="7" eb="9">
      <t>キンガク</t>
    </rPh>
    <phoneticPr fontId="1"/>
  </si>
  <si>
    <t>・No.50からNo.101を除く。
・No.50＜No.101なら、この欄の数値は「0」とし、控除しきれなかった額は以下へ引き継ぎ。</t>
    <rPh sb="15" eb="16">
      <t>ノゾ</t>
    </rPh>
    <rPh sb="37" eb="38">
      <t>ラン</t>
    </rPh>
    <rPh sb="39" eb="41">
      <t>スウチ</t>
    </rPh>
    <rPh sb="48" eb="50">
      <t>コウジョ</t>
    </rPh>
    <rPh sb="57" eb="58">
      <t>ガク</t>
    </rPh>
    <rPh sb="59" eb="61">
      <t>イカ</t>
    </rPh>
    <rPh sb="62" eb="63">
      <t>ヒ</t>
    </rPh>
    <rPh sb="64" eb="65">
      <t>ツ</t>
    </rPh>
    <phoneticPr fontId="1"/>
  </si>
  <si>
    <t>課税　退職所得金額</t>
    <rPh sb="0" eb="2">
      <t>カゼイ</t>
    </rPh>
    <rPh sb="3" eb="5">
      <t>タイショク</t>
    </rPh>
    <rPh sb="5" eb="7">
      <t>ショトク</t>
    </rPh>
    <rPh sb="7" eb="9">
      <t>キンガク</t>
    </rPh>
    <phoneticPr fontId="1"/>
  </si>
  <si>
    <t>・No.52からNo.103を除く。
・No.52＜No.103なら、この欄の数値は「0」とし、控除しきれなかった額は以下へ引き継ぎ。</t>
    <rPh sb="15" eb="16">
      <t>ノゾ</t>
    </rPh>
    <rPh sb="37" eb="38">
      <t>ラン</t>
    </rPh>
    <rPh sb="39" eb="41">
      <t>スウチ</t>
    </rPh>
    <rPh sb="48" eb="50">
      <t>コウジョ</t>
    </rPh>
    <rPh sb="57" eb="58">
      <t>ガク</t>
    </rPh>
    <rPh sb="59" eb="61">
      <t>イカ</t>
    </rPh>
    <rPh sb="62" eb="63">
      <t>ヒ</t>
    </rPh>
    <rPh sb="64" eb="65">
      <t>ツ</t>
    </rPh>
    <phoneticPr fontId="1"/>
  </si>
  <si>
    <t>－</t>
    <rPh sb="0" eb="1">
      <t>カ</t>
    </rPh>
    <phoneticPr fontId="1"/>
  </si>
  <si>
    <t>課税　総所得金額＋退職所得金額（総合課税分）</t>
    <rPh sb="0" eb="2">
      <t>カゼイ</t>
    </rPh>
    <rPh sb="3" eb="6">
      <t>ソウショトク</t>
    </rPh>
    <rPh sb="6" eb="8">
      <t>キンガク</t>
    </rPh>
    <rPh sb="9" eb="11">
      <t>タイショク</t>
    </rPh>
    <rPh sb="11" eb="13">
      <t>ショトク</t>
    </rPh>
    <rPh sb="13" eb="15">
      <t>キンガク</t>
    </rPh>
    <rPh sb="16" eb="18">
      <t>ソウゴウ</t>
    </rPh>
    <rPh sb="18" eb="20">
      <t>カゼイ</t>
    </rPh>
    <rPh sb="20" eb="21">
      <t>ブン</t>
    </rPh>
    <phoneticPr fontId="1"/>
  </si>
  <si>
    <t>No.88,104の合計額</t>
    <rPh sb="10" eb="13">
      <t>ゴウケイガク</t>
    </rPh>
    <phoneticPr fontId="1"/>
  </si>
  <si>
    <t>課税　山林所得金額（総合課税分・５分５乗方式）</t>
    <rPh sb="0" eb="2">
      <t>カゼイ</t>
    </rPh>
    <rPh sb="3" eb="5">
      <t>サンリン</t>
    </rPh>
    <rPh sb="5" eb="7">
      <t>ショトク</t>
    </rPh>
    <rPh sb="7" eb="9">
      <t>キンガク</t>
    </rPh>
    <rPh sb="10" eb="12">
      <t>ソウゴウ</t>
    </rPh>
    <rPh sb="12" eb="14">
      <t>カゼイ</t>
    </rPh>
    <rPh sb="14" eb="15">
      <t>ブン</t>
    </rPh>
    <rPh sb="17" eb="18">
      <t>フン</t>
    </rPh>
    <rPh sb="19" eb="20">
      <t>ジョウ</t>
    </rPh>
    <rPh sb="20" eb="22">
      <t>ホウシキ</t>
    </rPh>
    <phoneticPr fontId="1"/>
  </si>
  <si>
    <t>No.102を５分５乗方式に修正（課税山林所得金額÷５）</t>
    <rPh sb="8" eb="9">
      <t>ブン</t>
    </rPh>
    <rPh sb="10" eb="11">
      <t>ジョウ</t>
    </rPh>
    <rPh sb="11" eb="13">
      <t>ホウシキ</t>
    </rPh>
    <rPh sb="14" eb="16">
      <t>シュウセイ</t>
    </rPh>
    <rPh sb="17" eb="19">
      <t>カゼイ</t>
    </rPh>
    <rPh sb="19" eb="21">
      <t>サンリン</t>
    </rPh>
    <rPh sb="21" eb="23">
      <t>ショトク</t>
    </rPh>
    <rPh sb="23" eb="25">
      <t>キンガク</t>
    </rPh>
    <phoneticPr fontId="1"/>
  </si>
  <si>
    <t>課税　分離譲渡所得（10％分）</t>
    <rPh sb="0" eb="2">
      <t>カゼイ</t>
    </rPh>
    <rPh sb="3" eb="7">
      <t>ブンリジョウト</t>
    </rPh>
    <rPh sb="7" eb="9">
      <t>ショトク</t>
    </rPh>
    <rPh sb="13" eb="14">
      <t>ブン</t>
    </rPh>
    <phoneticPr fontId="1"/>
  </si>
  <si>
    <t>No.92のうち10％課税分（長期特定所得額と長期軽課所得額（特別控除後）の合計（No.17+18-41）と課税長期譲渡所得額（No.92）の小さい方とする。）
※本来は長期特定所得額（No.17）は2000万以下、長期軽課所得額（No.18）は6000万以下のみ税率が低いが、簡素化のため、これらは一律10％計算で見込む。</t>
    <rPh sb="11" eb="13">
      <t>カゼイ</t>
    </rPh>
    <rPh sb="13" eb="14">
      <t>ブン</t>
    </rPh>
    <rPh sb="15" eb="17">
      <t>チョウキ</t>
    </rPh>
    <rPh sb="17" eb="19">
      <t>トクテイ</t>
    </rPh>
    <rPh sb="19" eb="22">
      <t>ショトクガク</t>
    </rPh>
    <rPh sb="23" eb="25">
      <t>チョウキ</t>
    </rPh>
    <rPh sb="25" eb="26">
      <t>ケイ</t>
    </rPh>
    <rPh sb="26" eb="27">
      <t>カ</t>
    </rPh>
    <rPh sb="27" eb="30">
      <t>ショトクガク</t>
    </rPh>
    <rPh sb="31" eb="35">
      <t>トクベツコウジョ</t>
    </rPh>
    <rPh sb="35" eb="36">
      <t>ゴ</t>
    </rPh>
    <rPh sb="38" eb="40">
      <t>ゴウケイ</t>
    </rPh>
    <rPh sb="54" eb="56">
      <t>カゼイ</t>
    </rPh>
    <rPh sb="56" eb="60">
      <t>チョウキジョウト</t>
    </rPh>
    <rPh sb="60" eb="62">
      <t>ショトク</t>
    </rPh>
    <rPh sb="62" eb="63">
      <t>ガク</t>
    </rPh>
    <rPh sb="71" eb="72">
      <t>チイ</t>
    </rPh>
    <rPh sb="74" eb="75">
      <t>ホウ</t>
    </rPh>
    <rPh sb="87" eb="89">
      <t>トクテイ</t>
    </rPh>
    <rPh sb="89" eb="91">
      <t>ショトク</t>
    </rPh>
    <rPh sb="91" eb="92">
      <t>ガク</t>
    </rPh>
    <rPh sb="110" eb="112">
      <t>ケイカ</t>
    </rPh>
    <rPh sb="114" eb="115">
      <t>ガク</t>
    </rPh>
    <rPh sb="139" eb="142">
      <t>カンソカ</t>
    </rPh>
    <rPh sb="158" eb="160">
      <t>ミコ</t>
    </rPh>
    <phoneticPr fontId="1"/>
  </si>
  <si>
    <t>課税　分離譲渡所得（15％分）</t>
    <rPh sb="0" eb="2">
      <t>カゼイ</t>
    </rPh>
    <rPh sb="3" eb="5">
      <t>ブンリ</t>
    </rPh>
    <rPh sb="5" eb="7">
      <t>ジョウト</t>
    </rPh>
    <rPh sb="7" eb="9">
      <t>ショトク</t>
    </rPh>
    <rPh sb="13" eb="14">
      <t>ブン</t>
    </rPh>
    <phoneticPr fontId="1"/>
  </si>
  <si>
    <t>No.90のうち15％分（短期軽減所得額（特別控除後）（No.14-46）と課税短期譲渡所得（No.90）の小さい方とする。）,92（うち10％分除く）,94,96,98,100の合計額。</t>
    <rPh sb="11" eb="12">
      <t>ブン</t>
    </rPh>
    <rPh sb="13" eb="15">
      <t>タンキ</t>
    </rPh>
    <rPh sb="15" eb="17">
      <t>ケイゲン</t>
    </rPh>
    <rPh sb="17" eb="19">
      <t>ショトク</t>
    </rPh>
    <rPh sb="19" eb="20">
      <t>ガク</t>
    </rPh>
    <rPh sb="40" eb="42">
      <t>タンキ</t>
    </rPh>
    <rPh sb="71" eb="72">
      <t>ブン</t>
    </rPh>
    <rPh sb="72" eb="73">
      <t>ノゾ</t>
    </rPh>
    <rPh sb="89" eb="92">
      <t>ゴウケイガク</t>
    </rPh>
    <phoneticPr fontId="1"/>
  </si>
  <si>
    <t>課税　分離譲渡所得（30％分）</t>
    <rPh sb="0" eb="2">
      <t>カゼイ</t>
    </rPh>
    <rPh sb="3" eb="5">
      <t>ブンリ</t>
    </rPh>
    <rPh sb="5" eb="7">
      <t>ジョウト</t>
    </rPh>
    <rPh sb="7" eb="9">
      <t>ショトク</t>
    </rPh>
    <rPh sb="13" eb="14">
      <t>ブン</t>
    </rPh>
    <phoneticPr fontId="1"/>
  </si>
  <si>
    <t>No.90のうち15％分除く。</t>
    <rPh sb="11" eb="12">
      <t>ブン</t>
    </rPh>
    <rPh sb="12" eb="13">
      <t>ノゾ</t>
    </rPh>
    <phoneticPr fontId="1"/>
  </si>
  <si>
    <t>■所得税額計算</t>
    <rPh sb="1" eb="4">
      <t>ショトクゼイ</t>
    </rPh>
    <rPh sb="4" eb="5">
      <t>ガク</t>
    </rPh>
    <rPh sb="5" eb="7">
      <t>ケイサン</t>
    </rPh>
    <phoneticPr fontId="1"/>
  </si>
  <si>
    <t>Ｒ５所得税額
　（総所得金額＋退職所得金額分）</t>
    <rPh sb="2" eb="5">
      <t>ショトクゼイ</t>
    </rPh>
    <rPh sb="5" eb="6">
      <t>ガク</t>
    </rPh>
    <rPh sb="9" eb="12">
      <t>ソウショトク</t>
    </rPh>
    <rPh sb="12" eb="14">
      <t>キンガク</t>
    </rPh>
    <rPh sb="15" eb="17">
      <t>タイショク</t>
    </rPh>
    <rPh sb="17" eb="19">
      <t>ショトク</t>
    </rPh>
    <rPh sb="19" eb="21">
      <t>キンガク</t>
    </rPh>
    <rPh sb="21" eb="22">
      <t>ブン</t>
    </rPh>
    <phoneticPr fontId="1"/>
  </si>
  <si>
    <r>
      <t xml:space="preserve">Ｒ５所得税額
</t>
    </r>
    <r>
      <rPr>
        <sz val="11"/>
        <color theme="1"/>
        <rFont val="ＭＳ Ｐゴシック"/>
        <family val="3"/>
        <charset val="128"/>
      </rPr>
      <t>　（山林所得金額（総合課税分・５分５乗方式））</t>
    </r>
    <rPh sb="2" eb="5">
      <t>ショトクゼイ</t>
    </rPh>
    <rPh sb="5" eb="6">
      <t>ガク</t>
    </rPh>
    <rPh sb="9" eb="11">
      <t>サンリン</t>
    </rPh>
    <rPh sb="11" eb="13">
      <t>ショトク</t>
    </rPh>
    <rPh sb="13" eb="15">
      <t>キンガク</t>
    </rPh>
    <rPh sb="16" eb="18">
      <t>ソウゴウ</t>
    </rPh>
    <rPh sb="18" eb="20">
      <t>カゼイ</t>
    </rPh>
    <rPh sb="20" eb="21">
      <t>ブン</t>
    </rPh>
    <rPh sb="23" eb="24">
      <t>フン</t>
    </rPh>
    <rPh sb="25" eb="26">
      <t>ジョウ</t>
    </rPh>
    <rPh sb="26" eb="28">
      <t>ホウシキ</t>
    </rPh>
    <phoneticPr fontId="1"/>
  </si>
  <si>
    <t>Ｒ５所得税額
　（分離譲渡所得（10％分））</t>
    <rPh sb="2" eb="5">
      <t>ショトクゼイ</t>
    </rPh>
    <rPh sb="5" eb="6">
      <t>ガク</t>
    </rPh>
    <rPh sb="9" eb="11">
      <t>ブンリ</t>
    </rPh>
    <rPh sb="11" eb="13">
      <t>ジョウト</t>
    </rPh>
    <rPh sb="13" eb="15">
      <t>ショトク</t>
    </rPh>
    <rPh sb="19" eb="20">
      <t>ブン</t>
    </rPh>
    <phoneticPr fontId="1"/>
  </si>
  <si>
    <t>Ｒ５所得税額
　（分離譲渡所得（15％分））</t>
    <rPh sb="2" eb="5">
      <t>ショトクゼイ</t>
    </rPh>
    <rPh sb="5" eb="6">
      <t>ガク</t>
    </rPh>
    <rPh sb="9" eb="11">
      <t>ブンリ</t>
    </rPh>
    <rPh sb="11" eb="13">
      <t>ジョウト</t>
    </rPh>
    <rPh sb="13" eb="15">
      <t>ショトク</t>
    </rPh>
    <rPh sb="19" eb="20">
      <t>ブン</t>
    </rPh>
    <phoneticPr fontId="1"/>
  </si>
  <si>
    <t>Ｒ５所得税額
　（分離譲渡所得（30％分））</t>
    <rPh sb="2" eb="5">
      <t>ショトクゼイ</t>
    </rPh>
    <rPh sb="5" eb="6">
      <t>ガク</t>
    </rPh>
    <rPh sb="9" eb="11">
      <t>ブンリ</t>
    </rPh>
    <rPh sb="11" eb="13">
      <t>ジョウト</t>
    </rPh>
    <rPh sb="13" eb="15">
      <t>ショトク</t>
    </rPh>
    <rPh sb="19" eb="20">
      <t>ブン</t>
    </rPh>
    <phoneticPr fontId="1"/>
  </si>
  <si>
    <t>配当控除額</t>
    <rPh sb="0" eb="4">
      <t>ハイトウコウジョ</t>
    </rPh>
    <rPh sb="4" eb="5">
      <t>ガク</t>
    </rPh>
    <phoneticPr fontId="1"/>
  </si>
  <si>
    <t>×0.1</t>
    <phoneticPr fontId="1"/>
  </si>
  <si>
    <t>「26 配当所得額（総合）」の10％で算出。</t>
    <rPh sb="19" eb="21">
      <t>サンシュツ</t>
    </rPh>
    <phoneticPr fontId="1"/>
  </si>
  <si>
    <t>市町村民税＿住宅借入金等特別税額控除額</t>
    <rPh sb="0" eb="3">
      <t>シチョウソン</t>
    </rPh>
    <rPh sb="3" eb="4">
      <t>ミン</t>
    </rPh>
    <rPh sb="4" eb="5">
      <t>ゼイ</t>
    </rPh>
    <rPh sb="6" eb="8">
      <t>ジュウタク</t>
    </rPh>
    <rPh sb="8" eb="10">
      <t>カリイレ</t>
    </rPh>
    <rPh sb="10" eb="12">
      <t>キンナド</t>
    </rPh>
    <rPh sb="12" eb="14">
      <t>トクベツ</t>
    </rPh>
    <rPh sb="14" eb="16">
      <t>ゼイガク</t>
    </rPh>
    <rPh sb="16" eb="18">
      <t>コウジョ</t>
    </rPh>
    <rPh sb="18" eb="19">
      <t>ガク</t>
    </rPh>
    <phoneticPr fontId="1"/>
  </si>
  <si>
    <t>令和５年所得税額</t>
    <rPh sb="0" eb="2">
      <t>レイワ</t>
    </rPh>
    <rPh sb="3" eb="4">
      <t>ネン</t>
    </rPh>
    <rPh sb="4" eb="7">
      <t>ショトクゼイ</t>
    </rPh>
    <rPh sb="7" eb="8">
      <t>ガク</t>
    </rPh>
    <phoneticPr fontId="1"/>
  </si>
  <si>
    <t>・No.111～115の合計から、No.116を除いたもの
ただし、No.117が1以上であれば「0」とする。
・復興特別所得税(所得税額×1.021)は含まない。</t>
    <rPh sb="12" eb="14">
      <t>ゴウケイ</t>
    </rPh>
    <rPh sb="24" eb="25">
      <t>ノゾ</t>
    </rPh>
    <rPh sb="68" eb="69">
      <t>フク</t>
    </rPh>
    <phoneticPr fontId="1"/>
  </si>
  <si>
    <t>■調整給付額の算定</t>
    <rPh sb="1" eb="5">
      <t>チョウセイキュウフ</t>
    </rPh>
    <rPh sb="5" eb="6">
      <t>ガク</t>
    </rPh>
    <rPh sb="7" eb="9">
      <t>サンテイ</t>
    </rPh>
    <phoneticPr fontId="1"/>
  </si>
  <si>
    <t>Ｒ６年度個人住民税
課税情報等</t>
    <rPh sb="2" eb="4">
      <t>ネンド</t>
    </rPh>
    <rPh sb="4" eb="6">
      <t>コジン</t>
    </rPh>
    <rPh sb="6" eb="9">
      <t>ジュウミンゼイ</t>
    </rPh>
    <rPh sb="10" eb="12">
      <t>カゼイ</t>
    </rPh>
    <rPh sb="12" eb="14">
      <t>ジョウホウ</t>
    </rPh>
    <rPh sb="14" eb="15">
      <t>トウ</t>
    </rPh>
    <phoneticPr fontId="1"/>
  </si>
  <si>
    <t>定額減税可能額
算定のための算式</t>
    <rPh sb="0" eb="2">
      <t>テイガク</t>
    </rPh>
    <rPh sb="2" eb="4">
      <t>ゲンゼイ</t>
    </rPh>
    <rPh sb="4" eb="7">
      <t>カノウガク</t>
    </rPh>
    <rPh sb="8" eb="10">
      <t>サンテイ</t>
    </rPh>
    <rPh sb="14" eb="16">
      <t>サンシキ</t>
    </rPh>
    <phoneticPr fontId="1"/>
  </si>
  <si>
    <t>調整給付額
算出情報</t>
    <rPh sb="0" eb="5">
      <t>チョウセイキュウフガク</t>
    </rPh>
    <rPh sb="6" eb="8">
      <t>サンシュツ</t>
    </rPh>
    <rPh sb="8" eb="10">
      <t>ジョウホウ</t>
    </rPh>
    <phoneticPr fontId="1"/>
  </si>
  <si>
    <t>個人住民税における扶養親族数（控除対象配偶者含み、国外居住者除く）</t>
    <rPh sb="0" eb="5">
      <t>コジンジュウミンゼイ</t>
    </rPh>
    <rPh sb="9" eb="14">
      <t>フヨウシンゾクスウ</t>
    </rPh>
    <rPh sb="15" eb="22">
      <t>コウジョタイショウハイグウシャ</t>
    </rPh>
    <rPh sb="22" eb="23">
      <t>フク</t>
    </rPh>
    <rPh sb="25" eb="27">
      <t>コクガイ</t>
    </rPh>
    <rPh sb="27" eb="30">
      <t>キョジュウシャ</t>
    </rPh>
    <rPh sb="30" eb="31">
      <t>ノゾ</t>
    </rPh>
    <phoneticPr fontId="1"/>
  </si>
  <si>
    <t>No.65に１，２の数字が入っていれば１人カウントし、No.69～71,205は人数をカウント。No.215の数を控除。</t>
    <rPh sb="10" eb="12">
      <t>スウジ</t>
    </rPh>
    <rPh sb="13" eb="14">
      <t>ハイ</t>
    </rPh>
    <rPh sb="20" eb="21">
      <t>ニン</t>
    </rPh>
    <rPh sb="40" eb="42">
      <t>ニンズウ</t>
    </rPh>
    <rPh sb="55" eb="56">
      <t>カズ</t>
    </rPh>
    <rPh sb="57" eb="59">
      <t>コウジョ</t>
    </rPh>
    <phoneticPr fontId="1"/>
  </si>
  <si>
    <t>　16歳未満扶養者数</t>
    <phoneticPr fontId="1"/>
  </si>
  <si>
    <t>個人住民税定額減税可能額</t>
    <rPh sb="0" eb="2">
      <t>コジン</t>
    </rPh>
    <rPh sb="2" eb="5">
      <t>ジュウミンゼイ</t>
    </rPh>
    <rPh sb="5" eb="9">
      <t>テイガクゲンゼイ</t>
    </rPh>
    <rPh sb="9" eb="12">
      <t>カノウガク</t>
    </rPh>
    <phoneticPr fontId="1"/>
  </si>
  <si>
    <t>×10,000</t>
    <phoneticPr fontId="1"/>
  </si>
  <si>
    <t>１万円×減税対象人数（扶養親族数＋１）</t>
    <phoneticPr fontId="1"/>
  </si>
  <si>
    <t>個人住民税控除不足額</t>
    <rPh sb="0" eb="5">
      <t>コジンジュウミンゼイ</t>
    </rPh>
    <rPh sb="5" eb="7">
      <t>コウジョ</t>
    </rPh>
    <rPh sb="7" eb="10">
      <t>フソクガク</t>
    </rPh>
    <phoneticPr fontId="1"/>
  </si>
  <si>
    <t>No.206-201
No.206-201≦0であれば0
なお、No.214が1,805万円超の場合は0として扱う。</t>
    <rPh sb="45" eb="46">
      <t>エン</t>
    </rPh>
    <rPh sb="46" eb="47">
      <t>チョウ</t>
    </rPh>
    <rPh sb="48" eb="50">
      <t>バアイ</t>
    </rPh>
    <rPh sb="55" eb="56">
      <t>アツカ</t>
    </rPh>
    <phoneticPr fontId="1"/>
  </si>
  <si>
    <t>令和６年推計所得税額（令和５年所得税額）</t>
    <rPh sb="0" eb="2">
      <t>レイワ</t>
    </rPh>
    <rPh sb="3" eb="4">
      <t>ネン</t>
    </rPh>
    <rPh sb="4" eb="6">
      <t>スイケイ</t>
    </rPh>
    <rPh sb="6" eb="9">
      <t>ショトクゼイ</t>
    </rPh>
    <rPh sb="9" eb="10">
      <t>ガク</t>
    </rPh>
    <rPh sb="11" eb="13">
      <t>レイワ</t>
    </rPh>
    <rPh sb="14" eb="15">
      <t>ネン</t>
    </rPh>
    <rPh sb="15" eb="18">
      <t>ショトクゼイ</t>
    </rPh>
    <rPh sb="18" eb="19">
      <t>ガク</t>
    </rPh>
    <phoneticPr fontId="1"/>
  </si>
  <si>
    <t>No.118（推計所得税額）
or自治体で独自把握している額（No.216）</t>
  </si>
  <si>
    <t>所得税における扶養親族数（控除対象配偶者含み、国外居住者除く）</t>
    <rPh sb="0" eb="3">
      <t>ショトクゼイ</t>
    </rPh>
    <rPh sb="7" eb="12">
      <t>フヨウシンゾクスウ</t>
    </rPh>
    <rPh sb="13" eb="20">
      <t>コウジョタイショウハイグウシャ</t>
    </rPh>
    <rPh sb="20" eb="21">
      <t>フク</t>
    </rPh>
    <phoneticPr fontId="1"/>
  </si>
  <si>
    <t>No.204と同値
or自治体で独自把握している数（No.217）から扶養親族（控除対象配偶者含む）のうち国外居住者の数（No.215）を控除</t>
    <phoneticPr fontId="1"/>
  </si>
  <si>
    <t>所得税定額減税可能額</t>
    <rPh sb="0" eb="7">
      <t>ショトクゼイテイガクゲンゼイ</t>
    </rPh>
    <rPh sb="7" eb="10">
      <t>カノウガク</t>
    </rPh>
    <phoneticPr fontId="1"/>
  </si>
  <si>
    <t>×30,000</t>
    <phoneticPr fontId="1"/>
  </si>
  <si>
    <t>３万円×減税対象人数（扶養親族数＋１）</t>
    <phoneticPr fontId="1"/>
  </si>
  <si>
    <t>所得税控除不足額</t>
    <rPh sb="0" eb="3">
      <t>ショトクゼイ</t>
    </rPh>
    <rPh sb="3" eb="5">
      <t>コウジョ</t>
    </rPh>
    <rPh sb="5" eb="8">
      <t>フソクガク</t>
    </rPh>
    <phoneticPr fontId="1"/>
  </si>
  <si>
    <t>No.210-208
No.210-208≦0であれば0
なお、No.24又はNo.218が1,805万円超の場合、0として扱う（いずれにも数値が入っていない場合は、No.214が1,805万円超の場合、0として扱う。）。</t>
    <rPh sb="37" eb="38">
      <t>マタ</t>
    </rPh>
    <rPh sb="70" eb="72">
      <t>スウチ</t>
    </rPh>
    <rPh sb="73" eb="74">
      <t>ハイ</t>
    </rPh>
    <rPh sb="79" eb="81">
      <t>バアイ</t>
    </rPh>
    <phoneticPr fontId="1"/>
  </si>
  <si>
    <t>調整給付額（円単位）</t>
    <rPh sb="0" eb="5">
      <t>チョウセイキュウフガク</t>
    </rPh>
    <rPh sb="6" eb="9">
      <t>エンタンイ</t>
    </rPh>
    <phoneticPr fontId="1"/>
  </si>
  <si>
    <t>No.207+211
No.201=0かつNo.208＝0であれば0</t>
    <phoneticPr fontId="1"/>
  </si>
  <si>
    <t>調整給付額（万円単位）</t>
    <rPh sb="0" eb="4">
      <t>チョウセイキュウフ</t>
    </rPh>
    <rPh sb="4" eb="5">
      <t>ガク</t>
    </rPh>
    <rPh sb="6" eb="8">
      <t>マンエン</t>
    </rPh>
    <rPh sb="8" eb="10">
      <t>タンイ</t>
    </rPh>
    <phoneticPr fontId="1"/>
  </si>
  <si>
    <t>万円単位切上げ</t>
    <rPh sb="0" eb="2">
      <t>マンエン</t>
    </rPh>
    <rPh sb="2" eb="4">
      <t>タンイ</t>
    </rPh>
    <rPh sb="4" eb="6">
      <t>キリア</t>
    </rPh>
    <phoneticPr fontId="1"/>
  </si>
  <si>
    <t>No212を万円単位に切上げ。</t>
    <rPh sb="6" eb="8">
      <t>マンエン</t>
    </rPh>
    <rPh sb="8" eb="10">
      <t>タンイ</t>
    </rPh>
    <rPh sb="11" eb="13">
      <t>キリア</t>
    </rPh>
    <phoneticPr fontId="1"/>
  </si>
  <si>
    <t>個人住民税における合計所得金額</t>
    <rPh sb="0" eb="5">
      <t>コジンジュウミンゼイ</t>
    </rPh>
    <rPh sb="9" eb="15">
      <t>ゴウケイショトクキンガク</t>
    </rPh>
    <phoneticPr fontId="1"/>
  </si>
  <si>
    <t>1,805万円を超える場合、給付対象外のため調整給付額（個人住民税）の算定不要→No.207を0として扱う。</t>
    <rPh sb="5" eb="7">
      <t>マンエン</t>
    </rPh>
    <rPh sb="8" eb="9">
      <t>コ</t>
    </rPh>
    <rPh sb="11" eb="13">
      <t>バアイ</t>
    </rPh>
    <rPh sb="14" eb="16">
      <t>キュウフ</t>
    </rPh>
    <rPh sb="16" eb="19">
      <t>タイショウガイ</t>
    </rPh>
    <rPh sb="22" eb="27">
      <t>チョウセイキュウフガク</t>
    </rPh>
    <rPh sb="28" eb="33">
      <t>コジンジュウミンゼイ</t>
    </rPh>
    <rPh sb="35" eb="37">
      <t>サンテイ</t>
    </rPh>
    <rPh sb="37" eb="39">
      <t>フヨウ</t>
    </rPh>
    <rPh sb="51" eb="52">
      <t>アツカ</t>
    </rPh>
    <phoneticPr fontId="1"/>
  </si>
  <si>
    <t>項目なし</t>
    <rPh sb="0" eb="2">
      <t>コウモク</t>
    </rPh>
    <phoneticPr fontId="1"/>
  </si>
  <si>
    <t>扶養親族（控除対象配偶者含む）のうち国外居住者の数</t>
    <rPh sb="0" eb="2">
      <t>フヨウ</t>
    </rPh>
    <rPh sb="2" eb="4">
      <t>シンゾク</t>
    </rPh>
    <rPh sb="5" eb="7">
      <t>コウジョ</t>
    </rPh>
    <rPh sb="7" eb="9">
      <t>タイショウ</t>
    </rPh>
    <rPh sb="9" eb="12">
      <t>ハイグウシャ</t>
    </rPh>
    <rPh sb="12" eb="13">
      <t>フク</t>
    </rPh>
    <rPh sb="18" eb="20">
      <t>コクガイ</t>
    </rPh>
    <rPh sb="20" eb="23">
      <t>キョジュウシャ</t>
    </rPh>
    <rPh sb="24" eb="25">
      <t>カズ</t>
    </rPh>
    <phoneticPr fontId="1"/>
  </si>
  <si>
    <t>No.204から控除し、控除後の扶養親族数でNo.206を計算する。
※No.209も国外居住者を除いた数で計算。</t>
    <rPh sb="8" eb="10">
      <t>コウジョ</t>
    </rPh>
    <rPh sb="12" eb="14">
      <t>コウジョ</t>
    </rPh>
    <rPh sb="14" eb="15">
      <t>ゴ</t>
    </rPh>
    <rPh sb="16" eb="21">
      <t>フヨウシンゾクスウ</t>
    </rPh>
    <rPh sb="29" eb="31">
      <t>ケイサン</t>
    </rPh>
    <rPh sb="43" eb="47">
      <t>コクガイキョジュウ</t>
    </rPh>
    <rPh sb="47" eb="48">
      <t>シャ</t>
    </rPh>
    <rPh sb="49" eb="50">
      <t>ノゾ</t>
    </rPh>
    <rPh sb="52" eb="53">
      <t>カズ</t>
    </rPh>
    <rPh sb="54" eb="56">
      <t>ケイサン</t>
    </rPh>
    <phoneticPr fontId="1"/>
  </si>
  <si>
    <t>令和６年推計所得税額（令和５年所得税額）</t>
    <rPh sb="0" eb="2">
      <t>レイワ</t>
    </rPh>
    <rPh sb="3" eb="4">
      <t>ネン</t>
    </rPh>
    <rPh sb="4" eb="6">
      <t>スイケイ</t>
    </rPh>
    <rPh sb="6" eb="9">
      <t>ショトクゼイ</t>
    </rPh>
    <rPh sb="9" eb="10">
      <t>ガク</t>
    </rPh>
    <rPh sb="11" eb="13">
      <t>レイワ</t>
    </rPh>
    <rPh sb="14" eb="15">
      <t>ネン</t>
    </rPh>
    <rPh sb="15" eb="19">
      <t>ショトクゼイガク</t>
    </rPh>
    <phoneticPr fontId="1"/>
  </si>
  <si>
    <t>令和５年所得税の実額を把握しているのであれば、当該数字を使用する。</t>
    <rPh sb="0" eb="2">
      <t>レイワ</t>
    </rPh>
    <rPh sb="3" eb="4">
      <t>ネン</t>
    </rPh>
    <rPh sb="4" eb="7">
      <t>ショトクゼイ</t>
    </rPh>
    <rPh sb="8" eb="10">
      <t>ジツガク</t>
    </rPh>
    <rPh sb="11" eb="13">
      <t>ハアク</t>
    </rPh>
    <rPh sb="23" eb="25">
      <t>トウガイ</t>
    </rPh>
    <rPh sb="25" eb="27">
      <t>スウジ</t>
    </rPh>
    <rPh sb="28" eb="30">
      <t>シヨウ</t>
    </rPh>
    <phoneticPr fontId="1"/>
  </si>
  <si>
    <t>所得税における扶養親族数（控除対象配偶者含む）</t>
    <rPh sb="0" eb="3">
      <t>ショトクゼイ</t>
    </rPh>
    <phoneticPr fontId="1"/>
  </si>
  <si>
    <t>所得税における扶養親族数（控除対象配偶者含む）を把握しているのであれば、当該数字を使用する。
なお、本欄は16歳未満扶養者数を含むものとする。</t>
    <rPh sb="0" eb="3">
      <t>ショトクゼイ</t>
    </rPh>
    <rPh sb="7" eb="12">
      <t>フヨウシンゾクスウ</t>
    </rPh>
    <rPh sb="13" eb="17">
      <t>コウジョタイショウ</t>
    </rPh>
    <rPh sb="17" eb="20">
      <t>ハイグウシャ</t>
    </rPh>
    <rPh sb="20" eb="21">
      <t>フク</t>
    </rPh>
    <rPh sb="24" eb="26">
      <t>ハアク</t>
    </rPh>
    <rPh sb="36" eb="38">
      <t>トウガイ</t>
    </rPh>
    <rPh sb="38" eb="40">
      <t>スウジ</t>
    </rPh>
    <rPh sb="41" eb="43">
      <t>シヨウ</t>
    </rPh>
    <rPh sb="50" eb="52">
      <t>ホンラン</t>
    </rPh>
    <phoneticPr fontId="1"/>
  </si>
  <si>
    <t>所得税における合計所得金額</t>
    <rPh sb="0" eb="3">
      <t>ショトクゼイ</t>
    </rPh>
    <rPh sb="7" eb="13">
      <t>ゴウケイショトクキンガク</t>
    </rPh>
    <phoneticPr fontId="1"/>
  </si>
  <si>
    <t>1,805万円を超える場合、給付対象外のため調整給付額（所得税分）の算定不要→No.211を０として扱う。</t>
    <rPh sb="5" eb="7">
      <t>マンエン</t>
    </rPh>
    <rPh sb="8" eb="9">
      <t>コ</t>
    </rPh>
    <rPh sb="11" eb="13">
      <t>バアイ</t>
    </rPh>
    <rPh sb="14" eb="16">
      <t>キュウフ</t>
    </rPh>
    <rPh sb="16" eb="19">
      <t>タイショウガイ</t>
    </rPh>
    <rPh sb="22" eb="27">
      <t>チョウセイキュウフガク</t>
    </rPh>
    <rPh sb="28" eb="32">
      <t>ショトクゼイブン</t>
    </rPh>
    <rPh sb="34" eb="36">
      <t>サンテイ</t>
    </rPh>
    <rPh sb="36" eb="38">
      <t>フヨウ</t>
    </rPh>
    <rPh sb="50" eb="51">
      <t>アツカ</t>
    </rPh>
    <phoneticPr fontId="1"/>
  </si>
  <si>
    <t>データ項目</t>
  </si>
  <si>
    <t>個人住民税情報</t>
  </si>
  <si>
    <t>　農業所得額</t>
    <phoneticPr fontId="1"/>
  </si>
  <si>
    <t>　長期軽課所得額（特別控除前）</t>
    <phoneticPr fontId="1"/>
  </si>
  <si>
    <t>　居住用財産譲渡損失繰越控除額</t>
    <phoneticPr fontId="1"/>
  </si>
  <si>
    <t>　障害者控除額</t>
    <rPh sb="6" eb="7">
      <t>ガク</t>
    </rPh>
    <phoneticPr fontId="1"/>
  </si>
  <si>
    <t>市町村民税＿寄附金税額控除額【税源移譲前】</t>
    <phoneticPr fontId="1"/>
  </si>
  <si>
    <t>　課税年度</t>
    <phoneticPr fontId="1"/>
  </si>
  <si>
    <t>　特例肉用牛所得額</t>
    <phoneticPr fontId="1"/>
  </si>
  <si>
    <t>　特別控除額（長期軽課所得）</t>
    <phoneticPr fontId="1"/>
  </si>
  <si>
    <t>　特定居住用財産譲渡損失繰越控除額</t>
    <phoneticPr fontId="1"/>
  </si>
  <si>
    <t>障害者控除情報</t>
  </si>
  <si>
    <t>市町村民税＿外国税控除額</t>
    <phoneticPr fontId="1"/>
  </si>
  <si>
    <t>　総所得金額等</t>
    <phoneticPr fontId="1"/>
  </si>
  <si>
    <t>　不動産所得額</t>
    <phoneticPr fontId="1"/>
  </si>
  <si>
    <t>　短期譲渡所得額（特別控除前）</t>
    <phoneticPr fontId="1"/>
  </si>
  <si>
    <t>　上場株式等譲渡損失繰越控除額</t>
    <phoneticPr fontId="1"/>
  </si>
  <si>
    <t>　普通障害者数</t>
    <rPh sb="1" eb="3">
      <t>フツウ</t>
    </rPh>
    <rPh sb="3" eb="6">
      <t>ショウガイシャ</t>
    </rPh>
    <rPh sb="6" eb="7">
      <t>スウ</t>
    </rPh>
    <phoneticPr fontId="1"/>
  </si>
  <si>
    <t>市町村民税＿配当控除額</t>
  </si>
  <si>
    <t>　合計所得金額</t>
    <phoneticPr fontId="1"/>
  </si>
  <si>
    <t>　利子所得額（総合）</t>
    <phoneticPr fontId="1"/>
  </si>
  <si>
    <t>　特別控除額（短期譲渡所得）</t>
    <phoneticPr fontId="1"/>
  </si>
  <si>
    <t>　特定株式等譲渡損失繰越控除額</t>
    <phoneticPr fontId="1"/>
  </si>
  <si>
    <t>　特別障害者数</t>
    <rPh sb="1" eb="3">
      <t>トクベツ</t>
    </rPh>
    <rPh sb="3" eb="6">
      <t>ショウガイシャ</t>
    </rPh>
    <rPh sb="6" eb="7">
      <t>スウ</t>
    </rPh>
    <phoneticPr fontId="1"/>
  </si>
  <si>
    <t>市町村民税＿配当割額又は株式等譲渡所得割額の控除額</t>
  </si>
  <si>
    <t>合計所得金額情報</t>
  </si>
  <si>
    <t>　配当所得額（総合）</t>
    <phoneticPr fontId="1"/>
  </si>
  <si>
    <t>　短期一般所得額（特別控除前）</t>
    <phoneticPr fontId="1"/>
  </si>
  <si>
    <t>　先物取引差金等決済損失繰越控除額</t>
    <phoneticPr fontId="1"/>
  </si>
  <si>
    <t>　同居特別障害者数</t>
    <rPh sb="1" eb="3">
      <t>ドウキョ</t>
    </rPh>
    <rPh sb="4" eb="5">
      <t>ベツ</t>
    </rPh>
    <rPh sb="5" eb="8">
      <t>ショウガイシャ</t>
    </rPh>
    <rPh sb="8" eb="9">
      <t>スウ</t>
    </rPh>
    <phoneticPr fontId="1"/>
  </si>
  <si>
    <t>市町村民税所得割額</t>
  </si>
  <si>
    <t>　総所得金額</t>
    <phoneticPr fontId="1"/>
  </si>
  <si>
    <t>　譲渡所得額（総合）</t>
    <phoneticPr fontId="1"/>
  </si>
  <si>
    <t>　特別控除額（短期一般所得）</t>
    <phoneticPr fontId="1"/>
  </si>
  <si>
    <t>　雑損失繰越控除額</t>
    <phoneticPr fontId="1"/>
  </si>
  <si>
    <t>本人該当区分</t>
    <phoneticPr fontId="1"/>
  </si>
  <si>
    <t>市町村民税所得割額【税源移譲前】</t>
  </si>
  <si>
    <t>　総所得金額情報</t>
    <phoneticPr fontId="1"/>
  </si>
  <si>
    <t>譲渡所得額（総合）情報</t>
  </si>
  <si>
    <t>　短期軽減所得額（特別控除前）</t>
    <phoneticPr fontId="1"/>
  </si>
  <si>
    <t>　雑損控除額</t>
    <phoneticPr fontId="1"/>
  </si>
  <si>
    <t>　同一生計配偶者の対象の是非</t>
    <rPh sb="9" eb="11">
      <t>タイショウ</t>
    </rPh>
    <rPh sb="12" eb="14">
      <t>ゼヒ</t>
    </rPh>
    <phoneticPr fontId="1"/>
  </si>
  <si>
    <t>市町村民税均等割額</t>
  </si>
  <si>
    <t>　給与所得額</t>
    <phoneticPr fontId="1"/>
  </si>
  <si>
    <t>　長期譲渡所得額（特別控除前）</t>
    <phoneticPr fontId="1"/>
  </si>
  <si>
    <t>　特別控除額（短期軽減所得）</t>
    <phoneticPr fontId="1"/>
  </si>
  <si>
    <t>　医療費控除額</t>
    <phoneticPr fontId="1"/>
  </si>
  <si>
    <t>　控除対象障害者の対象の是非</t>
    <phoneticPr fontId="1"/>
  </si>
  <si>
    <t>都道府県民税所得割額</t>
  </si>
  <si>
    <t>給与所得額情報</t>
  </si>
  <si>
    <t>　特別控除額（長期譲渡所得）</t>
    <phoneticPr fontId="1"/>
  </si>
  <si>
    <t>　株式等譲渡所得額（申告分離）</t>
    <phoneticPr fontId="1"/>
  </si>
  <si>
    <t>　小規模共済等掛金控除額</t>
    <phoneticPr fontId="1"/>
  </si>
  <si>
    <t>　控除対象寡婦・ひとり親の対象の是非</t>
    <phoneticPr fontId="1"/>
  </si>
  <si>
    <t>都道府県民税均等割額</t>
  </si>
  <si>
    <t>　給与収入額</t>
    <phoneticPr fontId="1"/>
  </si>
  <si>
    <t>株式等譲渡所得額（申告分離）情報</t>
  </si>
  <si>
    <t>　社会保険料控除額</t>
    <phoneticPr fontId="1"/>
  </si>
  <si>
    <t>　控除対象勤労学生の対象の是非</t>
    <phoneticPr fontId="1"/>
  </si>
  <si>
    <t>居住用損失額</t>
  </si>
  <si>
    <t>　給与専従者収入額</t>
    <phoneticPr fontId="1"/>
  </si>
  <si>
    <t>　一般株式等譲渡所得額</t>
    <phoneticPr fontId="1"/>
  </si>
  <si>
    <t>　生命保険料控除額</t>
    <phoneticPr fontId="1"/>
  </si>
  <si>
    <t>　扶養控除対象の是非</t>
    <phoneticPr fontId="1"/>
  </si>
  <si>
    <t>市町村民税所得割額（減免前）</t>
  </si>
  <si>
    <t>　特定支出の額</t>
    <phoneticPr fontId="1"/>
  </si>
  <si>
    <t>　一時所得額（総合）</t>
    <phoneticPr fontId="1"/>
  </si>
  <si>
    <t>　上場株式等譲渡所得額</t>
    <phoneticPr fontId="1"/>
  </si>
  <si>
    <t>　地震保険料控除額</t>
    <phoneticPr fontId="1"/>
  </si>
  <si>
    <t>　16歳未満扶養親族の対象の是非</t>
    <rPh sb="11" eb="13">
      <t>タイショウ</t>
    </rPh>
    <rPh sb="14" eb="16">
      <t>ゼヒ</t>
    </rPh>
    <phoneticPr fontId="1"/>
  </si>
  <si>
    <t>市町村民税均等割額（減免前）</t>
  </si>
  <si>
    <t>　所得金額調整控除額</t>
    <phoneticPr fontId="1"/>
  </si>
  <si>
    <t>　山林所得額</t>
    <phoneticPr fontId="1"/>
  </si>
  <si>
    <t>　上場株式等配当等所得額（申告分離）</t>
    <phoneticPr fontId="1"/>
  </si>
  <si>
    <t>　配偶者特別控除額</t>
    <phoneticPr fontId="1"/>
  </si>
  <si>
    <t>専従者控除額</t>
  </si>
  <si>
    <t>減免税額</t>
  </si>
  <si>
    <t>　雑所得額（総合）</t>
    <phoneticPr fontId="1"/>
  </si>
  <si>
    <t>　退職所得額（総合）</t>
    <phoneticPr fontId="1"/>
  </si>
  <si>
    <t>　先物取引雑所得額（申告分離）</t>
    <phoneticPr fontId="1"/>
  </si>
  <si>
    <t>　配偶者控除等の有無・対象</t>
    <rPh sb="8" eb="10">
      <t>ウム</t>
    </rPh>
    <rPh sb="11" eb="13">
      <t>タイショウ</t>
    </rPh>
    <phoneticPr fontId="1"/>
  </si>
  <si>
    <t>所得控除合計額</t>
  </si>
  <si>
    <t>所得税確定申告書の提出の有無</t>
  </si>
  <si>
    <t>雑所得額（総合）情報</t>
  </si>
  <si>
    <t>　譲渡所得額（申告分離）</t>
    <phoneticPr fontId="1"/>
  </si>
  <si>
    <t>　条約適用利子等の額</t>
    <phoneticPr fontId="1"/>
  </si>
  <si>
    <t>　扶養控除額</t>
    <rPh sb="5" eb="6">
      <t>ガク</t>
    </rPh>
    <phoneticPr fontId="1"/>
  </si>
  <si>
    <t>課税所得額（課税標準額）</t>
  </si>
  <si>
    <t>住民税申告書の提出の有無</t>
  </si>
  <si>
    <t>　公的年金等所得額</t>
    <phoneticPr fontId="1"/>
  </si>
  <si>
    <t>譲渡所得額（申告分離）情報</t>
  </si>
  <si>
    <t>　条約適用配当等の額</t>
    <phoneticPr fontId="1"/>
  </si>
  <si>
    <t>扶養控除情報</t>
  </si>
  <si>
    <t>市町村民税＿税額控除前所得割額</t>
    <phoneticPr fontId="1"/>
  </si>
  <si>
    <t>住民登録外課税の有無</t>
  </si>
  <si>
    <t>　公的年金等収入額</t>
    <phoneticPr fontId="1"/>
  </si>
  <si>
    <t>　特例適用利子等の額</t>
    <phoneticPr fontId="1"/>
  </si>
  <si>
    <t>　一般扶養控除者数</t>
    <rPh sb="3" eb="5">
      <t>フヨウ</t>
    </rPh>
    <rPh sb="5" eb="7">
      <t>コウジョ</t>
    </rPh>
    <rPh sb="7" eb="8">
      <t>モノ</t>
    </rPh>
    <rPh sb="8" eb="9">
      <t>スウ</t>
    </rPh>
    <phoneticPr fontId="1"/>
  </si>
  <si>
    <t>市町村民税＿調整控除額</t>
  </si>
  <si>
    <t>住民登録外課税者の課税地市区町村コード</t>
  </si>
  <si>
    <t>　公的年金等以外雑所得額（総合課税）</t>
    <phoneticPr fontId="1"/>
  </si>
  <si>
    <t>　特例適用配当等の額</t>
    <phoneticPr fontId="1"/>
  </si>
  <si>
    <t>　特定扶養控除者数</t>
    <rPh sb="3" eb="5">
      <t>フヨウ</t>
    </rPh>
    <rPh sb="5" eb="7">
      <t>コウジョ</t>
    </rPh>
    <phoneticPr fontId="1"/>
  </si>
  <si>
    <t>市町村民税＿調整額</t>
  </si>
  <si>
    <t>市町村民税＿定額減税額</t>
    <rPh sb="0" eb="5">
      <t>シチョウソンミンゼイ</t>
    </rPh>
    <rPh sb="6" eb="8">
      <t>テイガク</t>
    </rPh>
    <rPh sb="8" eb="10">
      <t>ゲンゼイ</t>
    </rPh>
    <rPh sb="10" eb="11">
      <t>ガク</t>
    </rPh>
    <phoneticPr fontId="1"/>
  </si>
  <si>
    <t>　事業所得額</t>
    <phoneticPr fontId="1"/>
  </si>
  <si>
    <t>　長期一般所得額（特別控除前）</t>
    <phoneticPr fontId="1"/>
  </si>
  <si>
    <t>　繰越控除額</t>
    <phoneticPr fontId="1"/>
  </si>
  <si>
    <t>　老人扶養控除者数</t>
    <rPh sb="3" eb="5">
      <t>フヨウ</t>
    </rPh>
    <rPh sb="5" eb="7">
      <t>コウジョ</t>
    </rPh>
    <phoneticPr fontId="1"/>
  </si>
  <si>
    <t>市町村民税＿住宅借入金等特別税額控除額</t>
    <phoneticPr fontId="1"/>
  </si>
  <si>
    <t>市町村民税所得割額（定額減税前）</t>
    <rPh sb="0" eb="5">
      <t>シチョウソンミンゼイ</t>
    </rPh>
    <rPh sb="5" eb="9">
      <t>ショトクワリガク</t>
    </rPh>
    <rPh sb="10" eb="14">
      <t>テイガクゲンゼイ</t>
    </rPh>
    <rPh sb="14" eb="15">
      <t>マエ</t>
    </rPh>
    <phoneticPr fontId="1"/>
  </si>
  <si>
    <t>事業所得額情報</t>
  </si>
  <si>
    <t>　特別控除額（長期一般所得）</t>
    <phoneticPr fontId="1"/>
  </si>
  <si>
    <t>繰越控除額情報</t>
  </si>
  <si>
    <t>　同居老人扶養控除者数</t>
    <rPh sb="1" eb="3">
      <t>ドウキョ</t>
    </rPh>
    <rPh sb="3" eb="5">
      <t>ロウジン</t>
    </rPh>
    <rPh sb="5" eb="7">
      <t>フヨウ</t>
    </rPh>
    <rPh sb="7" eb="9">
      <t>コウジョ</t>
    </rPh>
    <phoneticPr fontId="1"/>
  </si>
  <si>
    <t>市町村民税＿住宅借入金等特別税額控除額【税源移譲前】</t>
  </si>
  <si>
    <t>市町村民税所得割額【税源移譲前】（定額減税前）</t>
    <rPh sb="0" eb="5">
      <t>シチョウソンミンゼイ</t>
    </rPh>
    <rPh sb="5" eb="9">
      <t>ショトクワリガク</t>
    </rPh>
    <rPh sb="10" eb="15">
      <t>ゼイゲンイジョウマエ</t>
    </rPh>
    <rPh sb="17" eb="22">
      <t>テイガクゲンゼイマエ</t>
    </rPh>
    <phoneticPr fontId="1"/>
  </si>
  <si>
    <t>　営業等所得額</t>
    <phoneticPr fontId="1"/>
  </si>
  <si>
    <t>　長期特定所得額</t>
    <phoneticPr fontId="1"/>
  </si>
  <si>
    <t>　純損失繰越控除額</t>
    <phoneticPr fontId="1"/>
  </si>
  <si>
    <t>市町村民税＿寄附金税額控除額</t>
  </si>
  <si>
    <t>都道府県民税＿定額減税額</t>
    <rPh sb="0" eb="6">
      <t>トドウフケンミンゼイ</t>
    </rPh>
    <rPh sb="7" eb="11">
      <t>テイガクゲンゼイ</t>
    </rPh>
    <rPh sb="11" eb="12">
      <t>ガク</t>
    </rPh>
    <phoneticPr fontId="1"/>
  </si>
  <si>
    <t>都道府県民税所得割額（定額減税前）</t>
    <rPh sb="0" eb="6">
      <t>トドウフケンミンゼイ</t>
    </rPh>
    <rPh sb="6" eb="10">
      <t>ショトクワリガク</t>
    </rPh>
    <rPh sb="11" eb="16">
      <t>テイガクゲンゼイマエ</t>
    </rPh>
    <phoneticPr fontId="1"/>
  </si>
  <si>
    <t>所得税と同額（上場株式等配当所得額（申告分離）以外の所得と損益通算できないため、マイナスの場合は０）。</t>
    <rPh sb="0" eb="3">
      <t>ショトクゼイ</t>
    </rPh>
    <rPh sb="4" eb="6">
      <t>ドウガク</t>
    </rPh>
    <phoneticPr fontId="1"/>
  </si>
  <si>
    <t>令和６年度個人住民税所得割額
（定額減税前：県民税所得割含）</t>
    <rPh sb="0" eb="2">
      <t>レイワ</t>
    </rPh>
    <rPh sb="3" eb="5">
      <t>ネンド</t>
    </rPh>
    <rPh sb="5" eb="10">
      <t>コジンジュウミンゼイ</t>
    </rPh>
    <rPh sb="10" eb="14">
      <t>ショトクワリガク</t>
    </rPh>
    <rPh sb="16" eb="18">
      <t>テイガク</t>
    </rPh>
    <rPh sb="18" eb="20">
      <t>ゲンゼイ</t>
    </rPh>
    <rPh sb="20" eb="21">
      <t>マエ</t>
    </rPh>
    <rPh sb="22" eb="25">
      <t>ケンミンゼイ</t>
    </rPh>
    <rPh sb="25" eb="27">
      <t>ショトク</t>
    </rPh>
    <rPh sb="27" eb="28">
      <t>ワリ</t>
    </rPh>
    <rPh sb="28" eb="29">
      <t>フク</t>
    </rPh>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</si>
</sst>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fonts count="20">
    <font>
      <sz val="11"/>
      <color theme="1"/>
      <name val="游ゴシック"/>
      <family val="2"/>
      <charset val="128"/>
      <scheme val="minor"/>
    </font>
    <font>
      <sz val="6"/>
      <name val="游ゴシック"/>
      <family val="2"/>
      <charset val="128"/>
      <scheme val="minor"/>
    </font>
    <font>
      <sz val="11"/>
      <name val="游ゴシック"/>
      <family val="3"/>
      <charset val="128"/>
      <scheme val="minor"/>
    </font>
    <font>
      <sz val="10"/>
      <color theme="1"/>
      <name val="游ゴシック"/>
      <family val="2"/>
      <charset val="128"/>
      <scheme val="minor"/>
    </font>
    <font>
      <sz val="11"/>
      <name val="ＭＳ Ｐゴシック"/>
      <family val="3"/>
      <charset val="128"/>
    </font>
    <font>
      <sz val="11"/>
      <color theme="1"/>
      <name val="游ゴシック"/>
      <family val="2"/>
      <charset val="128"/>
      <scheme val="minor"/>
    </font>
    <font>
      <sz val="20"/>
      <color theme="1"/>
      <name val="ＭＳ ゴシック"/>
      <family val="3"/>
      <charset val="128"/>
    </font>
    <font>
      <sz val="11"/>
      <color theme="1"/>
      <name val="ＭＳ ゴシック"/>
      <family val="3"/>
      <charset val="128"/>
    </font>
    <font>
      <sz val="11"/>
      <color rgb="FFFF0000"/>
      <name val="ＭＳ Ｐゴシック"/>
      <family val="3"/>
      <charset val="128"/>
    </font>
    <font>
      <sz val="12"/>
      <color rgb="FFFF0000"/>
      <name val="ＭＳ ゴシック"/>
      <family val="3"/>
      <charset val="128"/>
    </font>
    <font>
      <sz val="11"/>
      <name val="ＭＳ ゴシック"/>
      <family val="3"/>
      <charset val="128"/>
    </font>
    <font>
      <sz val="11"/>
      <color theme="1"/>
      <name val="ＭＳ Ｐゴシック"/>
      <family val="3"/>
      <charset val="128"/>
    </font>
    <font>
      <sz val="11"/>
      <color rgb="FFFF0000"/>
      <name val="ＭＳ ゴシック"/>
      <family val="3"/>
      <charset val="128"/>
    </font>
    <font>
      <sz val="11"/>
      <color theme="1"/>
      <name val="ＭＳ ゴシック"/>
      <family val="3"/>
    </font>
    <font>
      <sz val="10"/>
      <color theme="1"/>
      <name val="ＭＳ ゴシック"/>
      <family val="3"/>
      <charset val="128"/>
    </font>
    <font>
      <sz val="8"/>
      <color theme="1"/>
      <name val="ＭＳ ゴシック"/>
      <family val="3"/>
      <charset val="128"/>
    </font>
    <font>
      <b/>
      <sz val="9"/>
      <color indexed="81"/>
      <name val="MS P ゴシック"/>
      <family val="3"/>
      <charset val="128"/>
    </font>
    <font>
      <sz val="10"/>
      <name val="ＭＳ ゴシック"/>
      <family val="3"/>
      <charset val="128"/>
    </font>
    <font>
      <sz val="11"/>
      <name val="游ゴシック"/>
      <family val="2"/>
      <charset val="128"/>
      <scheme val="minor"/>
    </font>
    <font>
      <sz val="10"/>
      <color rgb="FFFF0000"/>
      <name val="ＭＳ ゴシック"/>
      <family val="3"/>
      <charset val="128"/>
    </font>
  </fonts>
  <fills count="16">
    <fill>
      <patternFill patternType="none"/>
    </fill>
    <fill>
      <patternFill patternType="gray125"/>
    </fill>
    <fill>
      <patternFill patternType="solid">
        <fgColor theme="9" tint="0.59999389629810485"/>
        <bgColor indexed="64"/>
      </patternFill>
    </fill>
    <fill>
      <patternFill patternType="solid">
        <fgColor theme="8" tint="0.59999389629810485"/>
        <bgColor indexed="64"/>
      </patternFill>
    </fill>
    <fill>
      <patternFill patternType="solid">
        <fgColor rgb="FFFFFF00"/>
        <bgColor indexed="64"/>
      </patternFill>
    </fill>
    <fill>
      <patternFill patternType="solid">
        <fgColor theme="0"/>
        <bgColor indexed="64"/>
      </patternFill>
    </fill>
    <fill>
      <patternFill patternType="solid">
        <fgColor theme="8" tint="0.79998168889431442"/>
        <bgColor indexed="64"/>
      </patternFill>
    </fill>
    <fill>
      <patternFill patternType="solid">
        <fgColor rgb="FFFFFFCC"/>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rgb="FFFFC000"/>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rgb="FFCCFFCC"/>
        <bgColor indexed="64"/>
      </patternFill>
    </fill>
    <fill>
      <patternFill patternType="solid">
        <fgColor rgb="FFFFFFFF"/>
        <bgColor indexed="64"/>
      </patternFill>
    </fill>
    <fill>
      <patternFill patternType="solid">
        <fgColor theme="5" tint="0.59999389629810485"/>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style="thin">
        <color indexed="64"/>
      </left>
      <right/>
      <top/>
      <bottom/>
      <diagonal/>
    </border>
    <border>
      <left style="thin">
        <color indexed="64"/>
      </left>
      <right style="thin">
        <color indexed="64"/>
      </right>
      <top style="double">
        <color indexed="64"/>
      </top>
      <bottom style="thin">
        <color indexed="64"/>
      </bottom>
      <diagonal/>
    </border>
    <border>
      <left style="thin">
        <color indexed="64"/>
      </left>
      <right/>
      <top style="thin">
        <color auto="1"/>
      </top>
      <bottom style="thin">
        <color auto="1"/>
      </bottom>
      <diagonal/>
    </border>
    <border>
      <left/>
      <right style="thin">
        <color auto="1"/>
      </right>
      <top style="thin">
        <color auto="1"/>
      </top>
      <bottom style="thin">
        <color auto="1"/>
      </bottom>
      <diagonal/>
    </border>
    <border>
      <left style="thick">
        <color auto="1"/>
      </left>
      <right style="thick">
        <color auto="1"/>
      </right>
      <top style="thick">
        <color auto="1"/>
      </top>
      <bottom style="thick">
        <color auto="1"/>
      </bottom>
      <diagonal/>
    </border>
    <border>
      <left style="thin">
        <color auto="1"/>
      </left>
      <right style="thin">
        <color indexed="64"/>
      </right>
      <top/>
      <bottom/>
      <diagonal/>
    </border>
    <border>
      <left style="thick">
        <color indexed="64"/>
      </left>
      <right style="thick">
        <color indexed="64"/>
      </right>
      <top/>
      <bottom style="thick">
        <color auto="1"/>
      </bottom>
      <diagonal/>
    </border>
    <border>
      <left style="thin">
        <color indexed="64"/>
      </left>
      <right/>
      <top style="thin">
        <color indexed="64"/>
      </top>
      <bottom/>
      <diagonal/>
    </border>
    <border>
      <left style="thin">
        <color auto="1"/>
      </left>
      <right/>
      <top/>
      <bottom style="thin">
        <color auto="1"/>
      </bottom>
      <diagonal/>
    </border>
    <border>
      <left style="medium">
        <color rgb="FFFF0000"/>
      </left>
      <right style="thin">
        <color indexed="64"/>
      </right>
      <top style="thin">
        <color indexed="64"/>
      </top>
      <bottom style="thin">
        <color indexed="64"/>
      </bottom>
      <diagonal/>
    </border>
    <border>
      <left style="medium">
        <color rgb="FFFF0000"/>
      </left>
      <right/>
      <top style="medium">
        <color rgb="FFFF0000"/>
      </top>
      <bottom style="thin">
        <color indexed="64"/>
      </bottom>
      <diagonal/>
    </border>
    <border>
      <left style="medium">
        <color rgb="FFFF0000"/>
      </left>
      <right/>
      <top style="thin">
        <color indexed="64"/>
      </top>
      <bottom style="thin">
        <color indexed="64"/>
      </bottom>
      <diagonal/>
    </border>
    <border>
      <left style="medium">
        <color rgb="FFFF0000"/>
      </left>
      <right/>
      <top style="thin">
        <color indexed="64"/>
      </top>
      <bottom style="medium">
        <color rgb="FFFF0000"/>
      </bottom>
      <diagonal/>
    </border>
  </borders>
  <cellStyleXfs count="4">
    <xf numFmtId="0" fontId="0" fillId="0" borderId="0">
      <alignment vertical="center"/>
    </xf>
    <xf numFmtId="0" fontId="3" fillId="0" borderId="0">
      <alignment vertical="center"/>
    </xf>
    <xf numFmtId="0" fontId="4" fillId="0" borderId="0"/>
    <xf numFmtId="38" fontId="5" fillId="0" borderId="0" applyFont="0" applyFill="0" applyBorder="0" applyAlignment="0" applyProtection="0">
      <alignment vertical="center"/>
    </xf>
  </cellStyleXfs>
  <cellXfs count="149">
    <xf numFmtId="0" fontId="0" fillId="0" borderId="0" xfId="0">
      <alignment vertical="center"/>
    </xf>
    <xf numFmtId="0" fontId="4" fillId="0" borderId="4" xfId="0" applyFont="1" applyBorder="1">
      <alignment vertical="center"/>
    </xf>
    <xf numFmtId="0" fontId="4" fillId="0" borderId="0" xfId="0" applyFont="1">
      <alignment vertical="center"/>
    </xf>
    <xf numFmtId="0" fontId="4" fillId="0" borderId="3" xfId="0" applyFont="1" applyBorder="1">
      <alignment vertical="center"/>
    </xf>
    <xf numFmtId="0" fontId="4" fillId="0" borderId="1" xfId="0" applyFont="1" applyBorder="1">
      <alignment vertical="center"/>
    </xf>
    <xf numFmtId="0" fontId="4" fillId="0" borderId="3" xfId="0" applyFont="1" applyBorder="1" applyAlignment="1">
      <alignment vertical="center" wrapText="1"/>
    </xf>
    <xf numFmtId="0" fontId="4" fillId="0" borderId="0" xfId="0" applyFont="1" applyAlignment="1">
      <alignment vertical="center" wrapText="1"/>
    </xf>
    <xf numFmtId="0" fontId="4" fillId="0" borderId="3" xfId="0" applyFont="1" applyBorder="1" applyAlignment="1">
      <alignment horizontal="right" vertical="center"/>
    </xf>
    <xf numFmtId="0" fontId="4" fillId="0" borderId="1" xfId="0" applyFont="1" applyBorder="1" applyAlignment="1">
      <alignment vertical="center" wrapText="1"/>
    </xf>
    <xf numFmtId="0" fontId="4" fillId="0" borderId="4" xfId="0" applyFont="1" applyBorder="1" applyAlignment="1">
      <alignment horizontal="center" vertical="center" wrapText="1"/>
    </xf>
    <xf numFmtId="0" fontId="4" fillId="0" borderId="7" xfId="0" applyFont="1" applyBorder="1" applyAlignment="1">
      <alignment horizontal="right" vertical="center"/>
    </xf>
    <xf numFmtId="0" fontId="4" fillId="0" borderId="1" xfId="0" applyFont="1" applyBorder="1" applyAlignment="1">
      <alignment horizontal="right" vertical="center"/>
    </xf>
    <xf numFmtId="0" fontId="6" fillId="0" borderId="0" xfId="0" applyFont="1">
      <alignment vertical="center"/>
    </xf>
    <xf numFmtId="0" fontId="7" fillId="0" borderId="0" xfId="0" applyFont="1" applyAlignment="1">
      <alignment horizontal="center" vertical="center"/>
    </xf>
    <xf numFmtId="0" fontId="7" fillId="0" borderId="0" xfId="0" applyFont="1" applyAlignment="1">
      <alignment horizontal="left" vertical="center"/>
    </xf>
    <xf numFmtId="0" fontId="7" fillId="0" borderId="0" xfId="0" applyFont="1">
      <alignment vertical="center"/>
    </xf>
    <xf numFmtId="0" fontId="8" fillId="0" borderId="0" xfId="0" applyFont="1">
      <alignment vertical="center"/>
    </xf>
    <xf numFmtId="0" fontId="9" fillId="0" borderId="0" xfId="0" applyFont="1" applyAlignment="1">
      <alignment horizontal="center" vertical="center" wrapText="1" shrinkToFit="1"/>
    </xf>
    <xf numFmtId="0" fontId="7" fillId="0" borderId="1" xfId="0" applyFont="1" applyBorder="1" applyAlignment="1">
      <alignment horizontal="center" vertical="center"/>
    </xf>
    <xf numFmtId="0" fontId="7" fillId="2" borderId="1" xfId="0" applyFont="1" applyFill="1" applyBorder="1" applyAlignment="1">
      <alignment horizontal="center" vertical="center" wrapText="1"/>
    </xf>
    <xf numFmtId="0" fontId="7" fillId="2" borderId="1" xfId="0" applyFont="1" applyFill="1" applyBorder="1" applyAlignment="1">
      <alignment horizontal="center" vertical="center"/>
    </xf>
    <xf numFmtId="0" fontId="10" fillId="2" borderId="1" xfId="0" applyFont="1" applyFill="1" applyBorder="1" applyAlignment="1">
      <alignment horizontal="center" vertical="center" wrapText="1"/>
    </xf>
    <xf numFmtId="0" fontId="10" fillId="3" borderId="1" xfId="0" applyFont="1" applyFill="1" applyBorder="1" applyAlignment="1">
      <alignment horizontal="center" vertical="center" wrapText="1"/>
    </xf>
    <xf numFmtId="0" fontId="11" fillId="3" borderId="1" xfId="0" applyFont="1" applyFill="1" applyBorder="1" applyAlignment="1">
      <alignment horizontal="center" vertical="center"/>
    </xf>
    <xf numFmtId="0" fontId="7" fillId="5" borderId="1" xfId="0" applyFont="1" applyFill="1" applyBorder="1" applyAlignment="1">
      <alignment horizontal="center" vertical="center"/>
    </xf>
    <xf numFmtId="0" fontId="7" fillId="5" borderId="1" xfId="0" applyFont="1" applyFill="1" applyBorder="1" applyAlignment="1">
      <alignment horizontal="left" vertical="center"/>
    </xf>
    <xf numFmtId="38" fontId="7" fillId="5" borderId="1" xfId="3" applyFont="1" applyFill="1" applyBorder="1">
      <alignment vertical="center"/>
    </xf>
    <xf numFmtId="0" fontId="7" fillId="0" borderId="1" xfId="0" applyFont="1" applyBorder="1" applyAlignment="1" applyProtection="1">
      <alignment horizontal="center" vertical="center"/>
      <protection locked="0"/>
    </xf>
    <xf numFmtId="38" fontId="7" fillId="6" borderId="1" xfId="3" applyFont="1" applyFill="1" applyBorder="1">
      <alignment vertical="center"/>
    </xf>
    <xf numFmtId="0" fontId="11" fillId="5" borderId="1" xfId="0" applyFont="1" applyFill="1" applyBorder="1" applyAlignment="1">
      <alignment vertical="center" wrapText="1"/>
    </xf>
    <xf numFmtId="0" fontId="7" fillId="0" borderId="1" xfId="0" applyFont="1" applyBorder="1" applyAlignment="1">
      <alignment horizontal="right" vertical="center"/>
    </xf>
    <xf numFmtId="38" fontId="7" fillId="7" borderId="1" xfId="3" applyFont="1" applyFill="1" applyBorder="1">
      <alignment vertical="center"/>
    </xf>
    <xf numFmtId="38" fontId="7" fillId="0" borderId="1" xfId="3" applyFont="1" applyFill="1" applyBorder="1">
      <alignment vertical="center"/>
    </xf>
    <xf numFmtId="0" fontId="11" fillId="0" borderId="1" xfId="0" applyFont="1" applyBorder="1" applyAlignment="1">
      <alignment vertical="center" wrapText="1"/>
    </xf>
    <xf numFmtId="0" fontId="7" fillId="0" borderId="1" xfId="0" applyFont="1" applyBorder="1" applyAlignment="1">
      <alignment horizontal="left" vertical="center"/>
    </xf>
    <xf numFmtId="0" fontId="12" fillId="0" borderId="0" xfId="0" applyFont="1">
      <alignment vertical="center"/>
    </xf>
    <xf numFmtId="0" fontId="7" fillId="0" borderId="1" xfId="0" applyFont="1" applyBorder="1" applyAlignment="1">
      <alignment horizontal="left" vertical="center" wrapText="1"/>
    </xf>
    <xf numFmtId="0" fontId="7" fillId="0" borderId="2" xfId="0" applyFont="1" applyBorder="1" applyAlignment="1">
      <alignment horizontal="center" vertical="center"/>
    </xf>
    <xf numFmtId="0" fontId="7" fillId="0" borderId="2" xfId="0" applyFont="1" applyBorder="1" applyAlignment="1">
      <alignment horizontal="left" vertical="center" wrapText="1"/>
    </xf>
    <xf numFmtId="38" fontId="7" fillId="6" borderId="2" xfId="3" applyFont="1" applyFill="1" applyBorder="1">
      <alignment vertical="center"/>
    </xf>
    <xf numFmtId="0" fontId="11" fillId="0" borderId="2" xfId="0" applyFont="1" applyBorder="1" applyAlignment="1">
      <alignment vertical="center" wrapText="1"/>
    </xf>
    <xf numFmtId="0" fontId="7" fillId="0" borderId="1" xfId="0" applyFont="1" applyBorder="1" applyAlignment="1">
      <alignment horizontal="left" vertical="center" wrapText="1" indent="2"/>
    </xf>
    <xf numFmtId="38" fontId="7" fillId="0" borderId="1" xfId="3" applyFont="1" applyBorder="1">
      <alignment vertical="center"/>
    </xf>
    <xf numFmtId="0" fontId="7" fillId="8" borderId="1" xfId="0" applyFont="1" applyFill="1" applyBorder="1" applyAlignment="1">
      <alignment horizontal="center" vertical="center"/>
    </xf>
    <xf numFmtId="0" fontId="7" fillId="8" borderId="1" xfId="0" applyFont="1" applyFill="1" applyBorder="1" applyAlignment="1">
      <alignment horizontal="right" vertical="center" wrapText="1" indent="1"/>
    </xf>
    <xf numFmtId="38" fontId="7" fillId="8" borderId="1" xfId="3" applyFont="1" applyFill="1" applyBorder="1">
      <alignment vertical="center"/>
    </xf>
    <xf numFmtId="0" fontId="11" fillId="8" borderId="1" xfId="0" applyFont="1" applyFill="1" applyBorder="1" applyAlignment="1">
      <alignment vertical="center" wrapText="1"/>
    </xf>
    <xf numFmtId="0" fontId="11" fillId="8" borderId="1" xfId="0" applyFont="1" applyFill="1" applyBorder="1">
      <alignment vertical="center"/>
    </xf>
    <xf numFmtId="0" fontId="7" fillId="0" borderId="3" xfId="0" applyFont="1" applyBorder="1" applyAlignment="1">
      <alignment horizontal="center" vertical="center"/>
    </xf>
    <xf numFmtId="0" fontId="7" fillId="0" borderId="3" xfId="0" applyFont="1" applyBorder="1" applyAlignment="1">
      <alignment horizontal="left" vertical="center" wrapText="1" indent="2"/>
    </xf>
    <xf numFmtId="38" fontId="7" fillId="0" borderId="3" xfId="3" applyFont="1" applyBorder="1">
      <alignment vertical="center"/>
    </xf>
    <xf numFmtId="38" fontId="7" fillId="6" borderId="3" xfId="3" applyFont="1" applyFill="1" applyBorder="1">
      <alignment vertical="center"/>
    </xf>
    <xf numFmtId="0" fontId="11" fillId="5" borderId="3" xfId="0" applyFont="1" applyFill="1" applyBorder="1" applyAlignment="1">
      <alignment vertical="center" wrapText="1"/>
    </xf>
    <xf numFmtId="0" fontId="11" fillId="0" borderId="1" xfId="0" applyFont="1" applyBorder="1">
      <alignment vertical="center"/>
    </xf>
    <xf numFmtId="0" fontId="7" fillId="8" borderId="1" xfId="0" applyFont="1" applyFill="1" applyBorder="1" applyAlignment="1">
      <alignment horizontal="right" vertical="center" wrapText="1" indent="2"/>
    </xf>
    <xf numFmtId="0" fontId="11" fillId="5" borderId="1" xfId="0" applyFont="1" applyFill="1" applyBorder="1">
      <alignment vertical="center"/>
    </xf>
    <xf numFmtId="0" fontId="7" fillId="0" borderId="1" xfId="0" applyFont="1" applyBorder="1" applyAlignment="1">
      <alignment horizontal="right" vertical="center" wrapText="1"/>
    </xf>
    <xf numFmtId="38" fontId="7" fillId="9" borderId="1" xfId="3" applyFont="1" applyFill="1" applyBorder="1">
      <alignment vertical="center"/>
    </xf>
    <xf numFmtId="0" fontId="7" fillId="8" borderId="1" xfId="0" applyFont="1" applyFill="1" applyBorder="1" applyAlignment="1">
      <alignment horizontal="right" vertical="center"/>
    </xf>
    <xf numFmtId="0" fontId="7" fillId="0" borderId="1" xfId="0" applyFont="1" applyBorder="1" applyAlignment="1">
      <alignment horizontal="left" vertical="center" shrinkToFit="1"/>
    </xf>
    <xf numFmtId="0" fontId="7" fillId="8" borderId="1" xfId="0" applyFont="1" applyFill="1" applyBorder="1" applyAlignment="1">
      <alignment horizontal="left" vertical="center"/>
    </xf>
    <xf numFmtId="38" fontId="7" fillId="0" borderId="2" xfId="3" applyFont="1" applyFill="1" applyBorder="1">
      <alignment vertical="center"/>
    </xf>
    <xf numFmtId="0" fontId="11" fillId="0" borderId="9" xfId="0" applyFont="1" applyBorder="1" applyAlignment="1">
      <alignment vertical="center" wrapText="1"/>
    </xf>
    <xf numFmtId="0" fontId="11" fillId="0" borderId="0" xfId="0" applyFont="1">
      <alignment vertical="center"/>
    </xf>
    <xf numFmtId="0" fontId="7" fillId="10" borderId="0" xfId="0" applyFont="1" applyFill="1" applyAlignment="1">
      <alignment horizontal="left" vertical="center"/>
    </xf>
    <xf numFmtId="0" fontId="11" fillId="10" borderId="0" xfId="0" applyFont="1" applyFill="1" applyAlignment="1">
      <alignment horizontal="left" vertical="center"/>
    </xf>
    <xf numFmtId="0" fontId="10" fillId="0" borderId="1" xfId="0" applyFont="1" applyBorder="1" applyAlignment="1">
      <alignment horizontal="center" vertical="center"/>
    </xf>
    <xf numFmtId="0" fontId="7" fillId="3" borderId="2" xfId="0" applyFont="1" applyFill="1" applyBorder="1" applyAlignment="1">
      <alignment horizontal="center" vertical="center" wrapText="1"/>
    </xf>
    <xf numFmtId="38" fontId="7" fillId="11" borderId="10" xfId="3" applyFont="1" applyFill="1" applyBorder="1" applyAlignment="1">
      <alignment horizontal="right" vertical="center"/>
    </xf>
    <xf numFmtId="0" fontId="11" fillId="0" borderId="9" xfId="0" applyFont="1" applyBorder="1" applyAlignment="1">
      <alignment horizontal="left" vertical="center"/>
    </xf>
    <xf numFmtId="38" fontId="7" fillId="0" borderId="3" xfId="3" applyFont="1" applyFill="1" applyBorder="1" applyAlignment="1">
      <alignment horizontal="left" vertical="center"/>
    </xf>
    <xf numFmtId="0" fontId="11" fillId="0" borderId="1" xfId="0" applyFont="1" applyBorder="1" applyAlignment="1">
      <alignment horizontal="left" vertical="center"/>
    </xf>
    <xf numFmtId="38" fontId="7" fillId="0" borderId="2" xfId="3" applyFont="1" applyFill="1" applyBorder="1" applyAlignment="1">
      <alignment horizontal="left" vertical="center"/>
    </xf>
    <xf numFmtId="38" fontId="7" fillId="11" borderId="1" xfId="3" applyFont="1" applyFill="1" applyBorder="1">
      <alignment vertical="center"/>
    </xf>
    <xf numFmtId="38" fontId="7" fillId="11" borderId="10" xfId="3" applyFont="1" applyFill="1" applyBorder="1">
      <alignment vertical="center"/>
    </xf>
    <xf numFmtId="0" fontId="4" fillId="0" borderId="6" xfId="0" applyFont="1" applyBorder="1">
      <alignment vertical="center"/>
    </xf>
    <xf numFmtId="38" fontId="7" fillId="0" borderId="11" xfId="3" applyFont="1" applyBorder="1">
      <alignment vertical="center"/>
    </xf>
    <xf numFmtId="38" fontId="7" fillId="11" borderId="12" xfId="3" applyFont="1" applyFill="1" applyBorder="1">
      <alignment vertical="center"/>
    </xf>
    <xf numFmtId="38" fontId="13" fillId="11" borderId="1" xfId="3" applyFont="1" applyFill="1" applyBorder="1">
      <alignment vertical="center"/>
    </xf>
    <xf numFmtId="0" fontId="11" fillId="0" borderId="9" xfId="0" applyFont="1" applyBorder="1">
      <alignment vertical="center"/>
    </xf>
    <xf numFmtId="38" fontId="7" fillId="0" borderId="3" xfId="3" applyFont="1" applyFill="1" applyBorder="1">
      <alignment vertical="center"/>
    </xf>
    <xf numFmtId="0" fontId="12" fillId="0" borderId="0" xfId="0" applyFont="1" applyAlignment="1">
      <alignment horizontal="center" vertical="center"/>
    </xf>
    <xf numFmtId="0" fontId="18" fillId="0" borderId="0" xfId="0" applyFont="1">
      <alignment vertical="center"/>
    </xf>
    <xf numFmtId="0" fontId="17" fillId="8" borderId="3" xfId="1" applyFont="1" applyFill="1" applyBorder="1" applyAlignment="1" applyProtection="1">
      <alignment horizontal="center" vertical="center" wrapText="1"/>
      <protection hidden="1"/>
    </xf>
    <xf numFmtId="0" fontId="17" fillId="8" borderId="3" xfId="1" applyFont="1" applyFill="1" applyBorder="1" applyAlignment="1">
      <alignment horizontal="left" vertical="center" wrapText="1"/>
    </xf>
    <xf numFmtId="0" fontId="17" fillId="7" borderId="3" xfId="1" applyFont="1" applyFill="1" applyBorder="1" applyAlignment="1" applyProtection="1">
      <alignment horizontal="center" vertical="center" wrapText="1"/>
      <protection hidden="1"/>
    </xf>
    <xf numFmtId="0" fontId="17" fillId="14" borderId="1" xfId="1" applyFont="1" applyFill="1" applyBorder="1" applyAlignment="1">
      <alignment horizontal="left" vertical="center" wrapText="1"/>
    </xf>
    <xf numFmtId="0" fontId="17" fillId="4" borderId="1" xfId="1" applyFont="1" applyFill="1" applyBorder="1" applyAlignment="1">
      <alignment horizontal="left" vertical="center" wrapText="1"/>
    </xf>
    <xf numFmtId="0" fontId="17" fillId="0" borderId="1" xfId="1" applyFont="1" applyBorder="1" applyAlignment="1">
      <alignment horizontal="left" vertical="center" wrapText="1"/>
    </xf>
    <xf numFmtId="0" fontId="17" fillId="7" borderId="1" xfId="1" applyFont="1" applyFill="1" applyBorder="1" applyAlignment="1" applyProtection="1">
      <alignment horizontal="center" vertical="center" wrapText="1"/>
      <protection hidden="1"/>
    </xf>
    <xf numFmtId="0" fontId="17" fillId="8" borderId="1" xfId="1" applyFont="1" applyFill="1" applyBorder="1" applyAlignment="1">
      <alignment horizontal="left" vertical="center" wrapText="1"/>
    </xf>
    <xf numFmtId="0" fontId="17" fillId="5" borderId="1" xfId="1" applyFont="1" applyFill="1" applyBorder="1" applyAlignment="1">
      <alignment horizontal="left" vertical="center" wrapText="1"/>
    </xf>
    <xf numFmtId="0" fontId="17" fillId="4" borderId="3" xfId="1" applyFont="1" applyFill="1" applyBorder="1" applyAlignment="1">
      <alignment horizontal="left" vertical="center" wrapText="1"/>
    </xf>
    <xf numFmtId="0" fontId="19" fillId="7" borderId="1" xfId="1" applyFont="1" applyFill="1" applyBorder="1" applyAlignment="1" applyProtection="1">
      <alignment horizontal="center" vertical="center" wrapText="1"/>
      <protection hidden="1"/>
    </xf>
    <xf numFmtId="0" fontId="19" fillId="0" borderId="1" xfId="1" applyFont="1" applyBorder="1" applyAlignment="1">
      <alignment horizontal="left" vertical="center" wrapText="1"/>
    </xf>
    <xf numFmtId="0" fontId="19" fillId="4" borderId="1" xfId="1" applyFont="1" applyFill="1" applyBorder="1" applyAlignment="1">
      <alignment horizontal="left" vertical="center" wrapText="1"/>
    </xf>
    <xf numFmtId="0" fontId="17" fillId="0" borderId="0" xfId="0" applyFont="1" applyAlignment="1" applyProtection="1">
      <alignment horizontal="center" vertical="center"/>
      <protection locked="0"/>
    </xf>
    <xf numFmtId="0" fontId="17" fillId="0" borderId="0" xfId="0" applyFont="1" applyAlignment="1" applyProtection="1">
      <alignment horizontal="left" vertical="center"/>
      <protection locked="0"/>
    </xf>
    <xf numFmtId="38" fontId="7" fillId="6" borderId="8" xfId="3" applyFont="1" applyFill="1" applyBorder="1">
      <alignment vertical="center"/>
    </xf>
    <xf numFmtId="0" fontId="11" fillId="0" borderId="3" xfId="0" applyFont="1" applyBorder="1" applyAlignment="1">
      <alignment vertical="center" wrapText="1"/>
    </xf>
    <xf numFmtId="0" fontId="19" fillId="4" borderId="1" xfId="0" applyFont="1" applyFill="1" applyBorder="1" applyAlignment="1">
      <alignment vertical="center" wrapText="1"/>
    </xf>
    <xf numFmtId="38" fontId="7" fillId="9" borderId="2" xfId="3" applyFont="1" applyFill="1" applyBorder="1">
      <alignment vertical="center"/>
    </xf>
    <xf numFmtId="0" fontId="11" fillId="5" borderId="2" xfId="0" applyFont="1" applyFill="1" applyBorder="1" applyAlignment="1">
      <alignment vertical="center" wrapText="1"/>
    </xf>
    <xf numFmtId="38" fontId="7" fillId="9" borderId="3" xfId="3" applyFont="1" applyFill="1" applyBorder="1">
      <alignment vertical="center"/>
    </xf>
    <xf numFmtId="0" fontId="11" fillId="5" borderId="15" xfId="0" applyFont="1" applyFill="1" applyBorder="1" applyAlignment="1">
      <alignment vertical="center" wrapText="1"/>
    </xf>
    <xf numFmtId="38" fontId="7" fillId="9" borderId="16" xfId="3" applyFont="1" applyFill="1" applyBorder="1">
      <alignment vertical="center"/>
    </xf>
    <xf numFmtId="38" fontId="7" fillId="9" borderId="17" xfId="3" applyFont="1" applyFill="1" applyBorder="1">
      <alignment vertical="center"/>
    </xf>
    <xf numFmtId="38" fontId="7" fillId="9" borderId="18" xfId="3" applyFont="1" applyFill="1" applyBorder="1">
      <alignment vertical="center"/>
    </xf>
    <xf numFmtId="0" fontId="11" fillId="5" borderId="9" xfId="0" applyFont="1" applyFill="1" applyBorder="1" applyAlignment="1">
      <alignment vertical="center" wrapText="1"/>
    </xf>
    <xf numFmtId="38" fontId="7" fillId="7" borderId="1" xfId="3" applyFont="1" applyFill="1" applyBorder="1" applyProtection="1">
      <alignment vertical="center"/>
      <protection locked="0"/>
    </xf>
    <xf numFmtId="38" fontId="7" fillId="7" borderId="2" xfId="3" applyFont="1" applyFill="1" applyBorder="1" applyProtection="1">
      <alignment vertical="center"/>
      <protection locked="0"/>
    </xf>
    <xf numFmtId="38" fontId="7" fillId="12" borderId="1" xfId="3" applyFont="1" applyFill="1" applyBorder="1" applyAlignment="1" applyProtection="1">
      <alignment vertical="center"/>
      <protection locked="0"/>
    </xf>
    <xf numFmtId="38" fontId="7" fillId="12" borderId="1" xfId="3" applyFont="1" applyFill="1" applyBorder="1" applyProtection="1">
      <alignment vertical="center"/>
      <protection locked="0"/>
    </xf>
    <xf numFmtId="0" fontId="7" fillId="15" borderId="1" xfId="0" applyFont="1" applyFill="1" applyBorder="1" applyAlignment="1">
      <alignment horizontal="center" vertical="center"/>
    </xf>
    <xf numFmtId="0" fontId="7" fillId="0" borderId="0" xfId="0" applyFont="1" applyProtection="1">
      <alignment vertical="center"/>
    </xf>
    <xf numFmtId="0" fontId="7" fillId="3" borderId="1" xfId="0" applyFont="1" applyFill="1" applyBorder="1" applyAlignment="1" applyProtection="1">
      <alignment horizontal="center" vertical="center" wrapText="1"/>
    </xf>
    <xf numFmtId="0" fontId="7" fillId="0" borderId="1" xfId="0" applyFont="1" applyBorder="1" applyAlignment="1" applyProtection="1">
      <alignment horizontal="center" vertical="center"/>
    </xf>
    <xf numFmtId="0" fontId="7" fillId="0" borderId="2" xfId="0" applyFont="1" applyBorder="1" applyAlignment="1" applyProtection="1">
      <alignment horizontal="center" vertical="center"/>
    </xf>
    <xf numFmtId="0" fontId="7" fillId="8" borderId="1" xfId="0" applyFont="1" applyFill="1" applyBorder="1" applyAlignment="1" applyProtection="1">
      <alignment horizontal="center" vertical="center"/>
    </xf>
    <xf numFmtId="0" fontId="7" fillId="0" borderId="3" xfId="0" applyFont="1" applyBorder="1" applyAlignment="1" applyProtection="1">
      <alignment horizontal="center" vertical="center"/>
    </xf>
    <xf numFmtId="49" fontId="15" fillId="0" borderId="1" xfId="0" applyNumberFormat="1" applyFont="1" applyBorder="1" applyAlignment="1" applyProtection="1">
      <alignment horizontal="center" vertical="center"/>
    </xf>
    <xf numFmtId="49" fontId="7" fillId="0" borderId="1" xfId="0" applyNumberFormat="1" applyFont="1" applyBorder="1" applyAlignment="1" applyProtection="1">
      <alignment horizontal="center" vertical="center"/>
    </xf>
    <xf numFmtId="0" fontId="7" fillId="0" borderId="1" xfId="0" applyFont="1" applyBorder="1" applyProtection="1">
      <alignment vertical="center"/>
    </xf>
    <xf numFmtId="49" fontId="7" fillId="0" borderId="8" xfId="0" applyNumberFormat="1" applyFont="1" applyBorder="1" applyAlignment="1" applyProtection="1">
      <alignment horizontal="center" vertical="center"/>
    </xf>
    <xf numFmtId="0" fontId="7" fillId="8" borderId="1" xfId="0" applyFont="1" applyFill="1" applyBorder="1" applyProtection="1">
      <alignment vertical="center"/>
    </xf>
    <xf numFmtId="0" fontId="7" fillId="0" borderId="8" xfId="0" applyFont="1" applyBorder="1" applyAlignment="1" applyProtection="1">
      <alignment horizontal="center" vertical="center"/>
    </xf>
    <xf numFmtId="0" fontId="7" fillId="0" borderId="1" xfId="0" applyFont="1" applyBorder="1" applyAlignment="1" applyProtection="1">
      <alignment horizontal="center" vertical="center" wrapText="1"/>
    </xf>
    <xf numFmtId="0" fontId="7" fillId="0" borderId="8" xfId="0" applyFont="1" applyBorder="1" applyProtection="1">
      <alignment vertical="center"/>
    </xf>
    <xf numFmtId="0" fontId="7" fillId="10" borderId="0" xfId="0" applyFont="1" applyFill="1" applyAlignment="1" applyProtection="1">
      <alignment horizontal="left" vertical="center"/>
    </xf>
    <xf numFmtId="38" fontId="7" fillId="12" borderId="1" xfId="3" applyFont="1" applyFill="1" applyBorder="1" applyAlignment="1" applyProtection="1">
      <alignment vertical="center"/>
    </xf>
    <xf numFmtId="0" fontId="4" fillId="0" borderId="2" xfId="0" applyFont="1" applyBorder="1" applyAlignment="1">
      <alignment horizontal="center" vertical="center"/>
    </xf>
    <xf numFmtId="0" fontId="4" fillId="0" borderId="5" xfId="0" applyFont="1" applyBorder="1" applyAlignment="1">
      <alignment horizontal="center" vertical="center"/>
    </xf>
    <xf numFmtId="0" fontId="4" fillId="0" borderId="1" xfId="0" applyFont="1" applyBorder="1" applyAlignment="1">
      <alignment horizontal="center" vertical="center" wrapText="1"/>
    </xf>
    <xf numFmtId="0" fontId="4" fillId="0" borderId="4" xfId="0" applyFont="1" applyBorder="1" applyAlignment="1">
      <alignment horizontal="center" vertical="center" wrapText="1"/>
    </xf>
    <xf numFmtId="0" fontId="4" fillId="0" borderId="2"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 xfId="0" applyFont="1" applyBorder="1" applyAlignment="1">
      <alignment horizontal="center" vertical="center"/>
    </xf>
    <xf numFmtId="0" fontId="4" fillId="0" borderId="4" xfId="0" applyFont="1" applyBorder="1" applyAlignment="1">
      <alignment horizontal="center" vertical="center"/>
    </xf>
    <xf numFmtId="0" fontId="7" fillId="4" borderId="1" xfId="0" applyFont="1" applyFill="1" applyBorder="1" applyAlignment="1">
      <alignment horizontal="left" vertical="center"/>
    </xf>
    <xf numFmtId="0" fontId="7" fillId="4" borderId="8" xfId="0" applyFont="1" applyFill="1" applyBorder="1" applyAlignment="1">
      <alignment horizontal="left" vertical="center"/>
    </xf>
    <xf numFmtId="0" fontId="11" fillId="5" borderId="2" xfId="0" applyFont="1" applyFill="1" applyBorder="1" applyAlignment="1">
      <alignment horizontal="left" vertical="center" wrapText="1"/>
    </xf>
    <xf numFmtId="0" fontId="7" fillId="4" borderId="3" xfId="0" applyFont="1" applyFill="1" applyBorder="1" applyAlignment="1">
      <alignment horizontal="left" vertical="center"/>
    </xf>
    <xf numFmtId="0" fontId="17" fillId="13" borderId="1" xfId="1" applyFont="1" applyFill="1" applyBorder="1" applyAlignment="1" applyProtection="1">
      <alignment horizontal="center" vertical="center" wrapText="1"/>
      <protection hidden="1"/>
    </xf>
    <xf numFmtId="0" fontId="17" fillId="13" borderId="2" xfId="1" applyFont="1" applyFill="1" applyBorder="1" applyAlignment="1" applyProtection="1">
      <alignment horizontal="center" vertical="center" wrapText="1"/>
      <protection hidden="1"/>
    </xf>
    <xf numFmtId="0" fontId="17" fillId="13" borderId="11" xfId="1" applyFont="1" applyFill="1" applyBorder="1" applyAlignment="1" applyProtection="1">
      <alignment horizontal="center" vertical="center" wrapText="1"/>
      <protection hidden="1"/>
    </xf>
    <xf numFmtId="0" fontId="17" fillId="13" borderId="3" xfId="1" applyFont="1" applyFill="1" applyBorder="1" applyAlignment="1" applyProtection="1">
      <alignment horizontal="center" vertical="center" wrapText="1"/>
      <protection hidden="1"/>
    </xf>
    <xf numFmtId="0" fontId="17" fillId="13" borderId="13" xfId="1" applyFont="1" applyFill="1" applyBorder="1" applyAlignment="1" applyProtection="1">
      <alignment horizontal="center" vertical="center" wrapText="1"/>
      <protection hidden="1"/>
    </xf>
    <xf numFmtId="0" fontId="17" fillId="13" borderId="6" xfId="1" applyFont="1" applyFill="1" applyBorder="1" applyAlignment="1" applyProtection="1">
      <alignment horizontal="center" vertical="center" wrapText="1"/>
      <protection hidden="1"/>
    </xf>
    <xf numFmtId="0" fontId="17" fillId="13" borderId="14" xfId="1" applyFont="1" applyFill="1" applyBorder="1" applyAlignment="1" applyProtection="1">
      <alignment horizontal="center" vertical="center" wrapText="1"/>
      <protection hidden="1"/>
    </xf>
  </cellXfs>
  <cellStyles count="4">
    <cellStyle name="桁区切り 2" xfId="3"/>
    <cellStyle name="標準" xfId="0" builtinId="0"/>
    <cellStyle name="標準 14" xfId="1"/>
    <cellStyle name="標準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0</xdr:col>
      <xdr:colOff>687456</xdr:colOff>
      <xdr:row>24</xdr:row>
      <xdr:rowOff>9525</xdr:rowOff>
    </xdr:from>
    <xdr:to>
      <xdr:col>16</xdr:col>
      <xdr:colOff>248479</xdr:colOff>
      <xdr:row>27</xdr:row>
      <xdr:rowOff>66675</xdr:rowOff>
    </xdr:to>
    <xdr:sp macro="" textlink="">
      <xdr:nvSpPr>
        <xdr:cNvPr id="2" name="テキスト ボックス 2">
          <a:extLst>
            <a:ext uri="{FF2B5EF4-FFF2-40B4-BE49-F238E27FC236}">
              <a16:creationId xmlns:a16="http://schemas.microsoft.com/office/drawing/2014/main" xmlns="" id="{10049762-9E61-44E6-9D90-D359BF3B464C}"/>
            </a:ext>
          </a:extLst>
        </xdr:cNvPr>
        <xdr:cNvSpPr txBox="1"/>
      </xdr:nvSpPr>
      <xdr:spPr>
        <a:xfrm>
          <a:off x="687456" y="3836090"/>
          <a:ext cx="10560327" cy="578955"/>
        </a:xfrm>
        <a:prstGeom prst="rect">
          <a:avLst/>
        </a:prstGeom>
      </xdr:spPr>
      <xdr:style>
        <a:lnRef idx="2">
          <a:schemeClr val="dk1"/>
        </a:lnRef>
        <a:fillRef idx="1">
          <a:schemeClr val="lt1"/>
        </a:fillRef>
        <a:effectRef idx="0">
          <a:schemeClr val="dk1"/>
        </a:effectRef>
        <a:fontRef idx="minor">
          <a:schemeClr val="dk1"/>
        </a:fontRef>
      </xdr:style>
      <xdr:txBody>
        <a:bodyPr wrap="square" lIns="0" rIns="0" rtlCol="0">
          <a:noAutofit/>
        </a:bodyP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defTabSz="288000"/>
          <a:r>
            <a:rPr kumimoji="1" lang="ja-JP" altLang="en-US" sz="1100">
              <a:latin typeface="ＭＳ Ｐゴシック" panose="020B0600070205080204" pitchFamily="50" charset="-128"/>
              <a:ea typeface="ＭＳ Ｐゴシック" panose="020B0600070205080204" pitchFamily="50" charset="-128"/>
            </a:rPr>
            <a:t>“自治体コード”</a:t>
          </a:r>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宛名番号（税務システム）</a:t>
          </a:r>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“宛名番号（給付支援サービス利用）”</a:t>
          </a:r>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氏名</a:t>
          </a:r>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性別コード</a:t>
          </a:r>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住所</a:t>
          </a:r>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”方書”</a:t>
          </a:r>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生年月日</a:t>
          </a:r>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給与所得額</a:t>
          </a:r>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雑所得額（総合）”</a:t>
          </a:r>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a:t>
          </a:r>
          <a:endParaRPr kumimoji="1" lang="en-US" altLang="ja-JP" sz="1100">
            <a:latin typeface="ＭＳ Ｐゴシック" panose="020B0600070205080204" pitchFamily="50" charset="-128"/>
            <a:ea typeface="ＭＳ Ｐゴシック" panose="020B0600070205080204" pitchFamily="50" charset="-128"/>
          </a:endParaRPr>
        </a:p>
        <a:p>
          <a:pPr algn="l" defTabSz="288000"/>
          <a:r>
            <a:rPr lang="en-US" altLang="ja-JP" sz="1100">
              <a:latin typeface="ＭＳ Ｐゴシック" panose="020B0600070205080204" pitchFamily="50" charset="-128"/>
              <a:ea typeface="ＭＳ Ｐゴシック" panose="020B0600070205080204" pitchFamily="50" charset="-128"/>
            </a:rPr>
            <a:t>“123456”,“9999999999”,“1111111111”,”</a:t>
          </a:r>
          <a:r>
            <a:rPr lang="ja-JP" altLang="en-US" sz="1100">
              <a:latin typeface="ＭＳ Ｐゴシック" panose="020B0600070205080204" pitchFamily="50" charset="-128"/>
              <a:ea typeface="ＭＳ Ｐゴシック" panose="020B0600070205080204" pitchFamily="50" charset="-128"/>
            </a:rPr>
            <a:t>給付　太郎</a:t>
          </a:r>
          <a:r>
            <a:rPr lang="en-US" altLang="ja-JP" sz="1100">
              <a:latin typeface="ＭＳ Ｐゴシック" panose="020B0600070205080204" pitchFamily="50" charset="-128"/>
              <a:ea typeface="ＭＳ Ｐゴシック" panose="020B0600070205080204" pitchFamily="50" charset="-128"/>
            </a:rPr>
            <a:t>”,”1”,”</a:t>
          </a:r>
          <a:r>
            <a:rPr lang="ja-JP" altLang="en-US" sz="1100">
              <a:latin typeface="ＭＳ Ｐゴシック" panose="020B0600070205080204" pitchFamily="50" charset="-128"/>
              <a:ea typeface="ＭＳ Ｐゴシック" panose="020B0600070205080204" pitchFamily="50" charset="-128"/>
            </a:rPr>
            <a:t>東京都千代田区</a:t>
          </a:r>
          <a:r>
            <a:rPr lang="en-US" altLang="ja-JP" sz="1100">
              <a:latin typeface="ＭＳ Ｐゴシック" panose="020B0600070205080204" pitchFamily="50" charset="-128"/>
              <a:ea typeface="ＭＳ Ｐゴシック" panose="020B0600070205080204" pitchFamily="50" charset="-128"/>
            </a:rPr>
            <a:t>”,””,”2000-01-01”,”1000000”,”0”,</a:t>
          </a:r>
          <a:r>
            <a:rPr lang="ja-JP" altLang="en-US"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twoCellAnchor>
  <xdr:twoCellAnchor>
    <xdr:from>
      <xdr:col>1</xdr:col>
      <xdr:colOff>0</xdr:colOff>
      <xdr:row>30</xdr:row>
      <xdr:rowOff>0</xdr:rowOff>
    </xdr:from>
    <xdr:to>
      <xdr:col>16</xdr:col>
      <xdr:colOff>256761</xdr:colOff>
      <xdr:row>33</xdr:row>
      <xdr:rowOff>57150</xdr:rowOff>
    </xdr:to>
    <xdr:sp macro="" textlink="">
      <xdr:nvSpPr>
        <xdr:cNvPr id="3" name="テキスト ボックス 2">
          <a:extLst>
            <a:ext uri="{FF2B5EF4-FFF2-40B4-BE49-F238E27FC236}">
              <a16:creationId xmlns:a16="http://schemas.microsoft.com/office/drawing/2014/main" xmlns="" id="{D60EE89D-3419-417E-9562-6AA1E6513D11}"/>
            </a:ext>
          </a:extLst>
        </xdr:cNvPr>
        <xdr:cNvSpPr txBox="1"/>
      </xdr:nvSpPr>
      <xdr:spPr>
        <a:xfrm>
          <a:off x="687457" y="4870174"/>
          <a:ext cx="10568608" cy="578954"/>
        </a:xfrm>
        <a:prstGeom prst="rect">
          <a:avLst/>
        </a:prstGeom>
      </xdr:spPr>
      <xdr:style>
        <a:lnRef idx="2">
          <a:schemeClr val="dk1"/>
        </a:lnRef>
        <a:fillRef idx="1">
          <a:schemeClr val="lt1"/>
        </a:fillRef>
        <a:effectRef idx="0">
          <a:schemeClr val="dk1"/>
        </a:effectRef>
        <a:fontRef idx="minor">
          <a:schemeClr val="dk1"/>
        </a:fontRef>
      </xdr:style>
      <xdr:txBody>
        <a:bodyPr wrap="square" lIns="0" rIns="0" rtlCol="0">
          <a:noAutofit/>
        </a:bodyP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defTabSz="288000"/>
          <a:r>
            <a:rPr kumimoji="1" lang="ja-JP" altLang="en-US" sz="1100">
              <a:latin typeface="ＭＳ Ｐゴシック" panose="020B0600070205080204" pitchFamily="50" charset="-128"/>
              <a:ea typeface="ＭＳ Ｐゴシック" panose="020B0600070205080204" pitchFamily="50" charset="-128"/>
            </a:rPr>
            <a:t>“宛名番号（税務システム）</a:t>
          </a:r>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“宛名番号（給付支援サービス利用）”</a:t>
          </a:r>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氏名</a:t>
          </a:r>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性別コード</a:t>
          </a:r>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住所</a:t>
          </a:r>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”方書”</a:t>
          </a:r>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生年月日</a:t>
          </a:r>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令和６年度個人住民税所得割額</a:t>
          </a:r>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a:t>
          </a:r>
          <a:endParaRPr kumimoji="1" lang="en-US" altLang="ja-JP" sz="1100">
            <a:latin typeface="ＭＳ Ｐゴシック" panose="020B0600070205080204" pitchFamily="50" charset="-128"/>
            <a:ea typeface="ＭＳ Ｐゴシック" panose="020B0600070205080204" pitchFamily="50" charset="-128"/>
          </a:endParaRPr>
        </a:p>
        <a:p>
          <a:pPr algn="l" defTabSz="288000"/>
          <a:r>
            <a:rPr lang="en-US" altLang="ja-JP" sz="1100">
              <a:latin typeface="ＭＳ Ｐゴシック" panose="020B0600070205080204" pitchFamily="50" charset="-128"/>
              <a:ea typeface="ＭＳ Ｐゴシック" panose="020B0600070205080204" pitchFamily="50" charset="-128"/>
            </a:rPr>
            <a:t>“9999999999”,“1111111111”,”</a:t>
          </a:r>
          <a:r>
            <a:rPr lang="ja-JP" altLang="en-US" sz="1100">
              <a:latin typeface="ＭＳ Ｐゴシック" panose="020B0600070205080204" pitchFamily="50" charset="-128"/>
              <a:ea typeface="ＭＳ Ｐゴシック" panose="020B0600070205080204" pitchFamily="50" charset="-128"/>
            </a:rPr>
            <a:t>給付　太郎</a:t>
          </a:r>
          <a:r>
            <a:rPr lang="en-US" altLang="ja-JP" sz="1100">
              <a:latin typeface="ＭＳ Ｐゴシック" panose="020B0600070205080204" pitchFamily="50" charset="-128"/>
              <a:ea typeface="ＭＳ Ｐゴシック" panose="020B0600070205080204" pitchFamily="50" charset="-128"/>
            </a:rPr>
            <a:t>”,”1”,”</a:t>
          </a:r>
          <a:r>
            <a:rPr lang="ja-JP" altLang="en-US" sz="1100">
              <a:latin typeface="ＭＳ Ｐゴシック" panose="020B0600070205080204" pitchFamily="50" charset="-128"/>
              <a:ea typeface="ＭＳ Ｐゴシック" panose="020B0600070205080204" pitchFamily="50" charset="-128"/>
            </a:rPr>
            <a:t>東京都千代田区</a:t>
          </a:r>
          <a:r>
            <a:rPr lang="en-US" altLang="ja-JP" sz="1100">
              <a:latin typeface="ＭＳ Ｐゴシック" panose="020B0600070205080204" pitchFamily="50" charset="-128"/>
              <a:ea typeface="ＭＳ Ｐゴシック" panose="020B0600070205080204" pitchFamily="50" charset="-128"/>
            </a:rPr>
            <a:t>”,””,”2000-01-01”,”1000000”,</a:t>
          </a:r>
          <a:r>
            <a:rPr lang="ja-JP" altLang="en-US"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11205</xdr:colOff>
      <xdr:row>2</xdr:row>
      <xdr:rowOff>448237</xdr:rowOff>
    </xdr:from>
    <xdr:to>
      <xdr:col>35</xdr:col>
      <xdr:colOff>418862</xdr:colOff>
      <xdr:row>14</xdr:row>
      <xdr:rowOff>121969</xdr:rowOff>
    </xdr:to>
    <xdr:pic>
      <xdr:nvPicPr>
        <xdr:cNvPr id="2"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357411" y="1210237"/>
          <a:ext cx="18863745" cy="50413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40821</xdr:colOff>
      <xdr:row>120</xdr:row>
      <xdr:rowOff>42079</xdr:rowOff>
    </xdr:from>
    <xdr:to>
      <xdr:col>9</xdr:col>
      <xdr:colOff>40821</xdr:colOff>
      <xdr:row>125</xdr:row>
      <xdr:rowOff>476250</xdr:rowOff>
    </xdr:to>
    <xdr:pic>
      <xdr:nvPicPr>
        <xdr:cNvPr id="5" name="図 4"/>
        <xdr:cNvPicPr>
          <a:picLocks noChangeAspect="1"/>
        </xdr:cNvPicPr>
      </xdr:nvPicPr>
      <xdr:blipFill rotWithShape="1">
        <a:blip xmlns:r="http://schemas.openxmlformats.org/officeDocument/2006/relationships" r:embed="rId1"/>
        <a:srcRect l="54741" r="1992"/>
        <a:stretch/>
      </xdr:blipFill>
      <xdr:spPr>
        <a:xfrm>
          <a:off x="9919607" y="53939972"/>
          <a:ext cx="4136571" cy="2488849"/>
        </a:xfrm>
        <a:prstGeom prst="rect">
          <a:avLst/>
        </a:prstGeom>
      </xdr:spPr>
    </xdr:pic>
    <xdr:clientData/>
  </xdr:twoCellAnchor>
  <xdr:twoCellAnchor editAs="oneCell">
    <xdr:from>
      <xdr:col>8</xdr:col>
      <xdr:colOff>13607</xdr:colOff>
      <xdr:row>3</xdr:row>
      <xdr:rowOff>176892</xdr:rowOff>
    </xdr:from>
    <xdr:to>
      <xdr:col>36</xdr:col>
      <xdr:colOff>525189</xdr:colOff>
      <xdr:row>14</xdr:row>
      <xdr:rowOff>387942</xdr:rowOff>
    </xdr:to>
    <xdr:pic>
      <xdr:nvPicPr>
        <xdr:cNvPr id="6" name="図 5"/>
        <xdr:cNvPicPr>
          <a:picLocks noChangeAspect="1"/>
        </xdr:cNvPicPr>
      </xdr:nvPicPr>
      <xdr:blipFill>
        <a:blip xmlns:r="http://schemas.openxmlformats.org/officeDocument/2006/relationships" r:embed="rId1"/>
        <a:stretch>
          <a:fillRect/>
        </a:stretch>
      </xdr:blipFill>
      <xdr:spPr>
        <a:xfrm>
          <a:off x="13348607" y="1483178"/>
          <a:ext cx="19561582" cy="5068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0</xdr:colOff>
      <xdr:row>3</xdr:row>
      <xdr:rowOff>392205</xdr:rowOff>
    </xdr:from>
    <xdr:to>
      <xdr:col>23</xdr:col>
      <xdr:colOff>625190</xdr:colOff>
      <xdr:row>17</xdr:row>
      <xdr:rowOff>291352</xdr:rowOff>
    </xdr:to>
    <xdr:pic>
      <xdr:nvPicPr>
        <xdr:cNvPr id="2"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346206" y="1692087"/>
          <a:ext cx="10878572" cy="602876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2:B30"/>
  <sheetViews>
    <sheetView view="pageBreakPreview" zoomScale="60" zoomScaleNormal="115" workbookViewId="0"/>
  </sheetViews>
  <sheetFormatPr defaultColWidth="9" defaultRowHeight="13.5"/>
  <cols>
    <col min="1" max="16384" width="9" style="2"/>
  </cols>
  <sheetData>
    <row r="2" spans="2:2">
      <c r="B2" s="2" t="s">
        <v>0</v>
      </c>
    </row>
    <row r="3" spans="2:2">
      <c r="B3" s="2" t="s">
        <v>1</v>
      </c>
    </row>
    <row r="4" spans="2:2">
      <c r="B4" s="2" t="s">
        <v>2</v>
      </c>
    </row>
    <row r="5" spans="2:2">
      <c r="B5" s="2" t="s">
        <v>3</v>
      </c>
    </row>
    <row r="8" spans="2:2">
      <c r="B8" s="2" t="s">
        <v>4</v>
      </c>
    </row>
    <row r="9" spans="2:2">
      <c r="B9" s="2" t="s">
        <v>5</v>
      </c>
    </row>
    <row r="10" spans="2:2">
      <c r="B10" s="2" t="s">
        <v>6</v>
      </c>
    </row>
    <row r="12" spans="2:2">
      <c r="B12" s="2" t="s">
        <v>7</v>
      </c>
    </row>
    <row r="13" spans="2:2">
      <c r="B13" s="2" t="s">
        <v>8</v>
      </c>
    </row>
    <row r="14" spans="2:2">
      <c r="B14" s="2" t="s">
        <v>9</v>
      </c>
    </row>
    <row r="15" spans="2:2">
      <c r="B15" s="2" t="s">
        <v>10</v>
      </c>
    </row>
    <row r="16" spans="2:2">
      <c r="B16" s="2" t="s">
        <v>11</v>
      </c>
    </row>
    <row r="17" spans="2:2">
      <c r="B17" s="2" t="s">
        <v>12</v>
      </c>
    </row>
    <row r="18" spans="2:2">
      <c r="B18" s="2" t="s">
        <v>13</v>
      </c>
    </row>
    <row r="19" spans="2:2">
      <c r="B19" s="2" t="s">
        <v>14</v>
      </c>
    </row>
    <row r="20" spans="2:2">
      <c r="B20" s="2" t="s">
        <v>15</v>
      </c>
    </row>
    <row r="21" spans="2:2">
      <c r="B21" s="2" t="s">
        <v>16</v>
      </c>
    </row>
    <row r="22" spans="2:2">
      <c r="B22" s="2" t="s">
        <v>17</v>
      </c>
    </row>
    <row r="24" spans="2:2">
      <c r="B24" s="2" t="s">
        <v>18</v>
      </c>
    </row>
    <row r="30" spans="2:2">
      <c r="B30" s="2" t="s">
        <v>19</v>
      </c>
    </row>
  </sheetData>
  <phoneticPr fontId="1"/>
  <pageMargins left="0.7" right="0.7" top="0.75" bottom="0.75" header="0.3" footer="0.3"/>
  <pageSetup paperSize="9" scale="78"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2:J68"/>
  <sheetViews>
    <sheetView view="pageBreakPreview" topLeftCell="A10" zoomScale="85" zoomScaleNormal="100" zoomScaleSheetLayoutView="85" workbookViewId="0">
      <selection activeCell="B2" sqref="B2:B3"/>
    </sheetView>
  </sheetViews>
  <sheetFormatPr defaultColWidth="9" defaultRowHeight="13.5"/>
  <cols>
    <col min="1" max="1" width="5.25" style="2" customWidth="1"/>
    <col min="2" max="2" width="9" style="2"/>
    <col min="3" max="3" width="49.625" style="2" bestFit="1" customWidth="1"/>
    <col min="4" max="5" width="17.875" style="2" customWidth="1"/>
    <col min="6" max="6" width="15.125" style="2" bestFit="1" customWidth="1"/>
    <col min="7" max="8" width="9" style="2"/>
    <col min="9" max="9" width="59.25" style="6" customWidth="1"/>
    <col min="10" max="10" width="22.75" style="2" customWidth="1"/>
    <col min="11" max="16384" width="9" style="2"/>
  </cols>
  <sheetData>
    <row r="2" spans="2:10" ht="18.75" customHeight="1">
      <c r="B2" s="136" t="s">
        <v>20</v>
      </c>
      <c r="C2" s="136" t="s">
        <v>21</v>
      </c>
      <c r="D2" s="136" t="s">
        <v>22</v>
      </c>
      <c r="E2" s="136"/>
      <c r="F2" s="136" t="s">
        <v>23</v>
      </c>
      <c r="G2" s="136" t="s">
        <v>24</v>
      </c>
      <c r="H2" s="132" t="s">
        <v>25</v>
      </c>
      <c r="I2" s="134" t="s">
        <v>26</v>
      </c>
      <c r="J2" s="130" t="s">
        <v>27</v>
      </c>
    </row>
    <row r="3" spans="2:10" ht="27.75" thickBot="1">
      <c r="B3" s="137"/>
      <c r="C3" s="137"/>
      <c r="D3" s="9" t="s">
        <v>28</v>
      </c>
      <c r="E3" s="9" t="s">
        <v>29</v>
      </c>
      <c r="F3" s="137"/>
      <c r="G3" s="137"/>
      <c r="H3" s="133"/>
      <c r="I3" s="135"/>
      <c r="J3" s="131"/>
    </row>
    <row r="4" spans="2:10" ht="14.25" thickTop="1">
      <c r="B4" s="3">
        <v>1</v>
      </c>
      <c r="C4" s="3" t="s">
        <v>30</v>
      </c>
      <c r="D4" s="3" t="s">
        <v>31</v>
      </c>
      <c r="E4" s="3" t="s">
        <v>31</v>
      </c>
      <c r="F4" s="3" t="s">
        <v>32</v>
      </c>
      <c r="G4" s="7">
        <v>6</v>
      </c>
      <c r="H4" s="3" t="s">
        <v>33</v>
      </c>
      <c r="I4" s="5" t="s">
        <v>34</v>
      </c>
      <c r="J4" s="10" t="s">
        <v>35</v>
      </c>
    </row>
    <row r="5" spans="2:10">
      <c r="B5" s="4">
        <v>2</v>
      </c>
      <c r="C5" s="4" t="s">
        <v>36</v>
      </c>
      <c r="D5" s="4" t="s">
        <v>37</v>
      </c>
      <c r="E5" s="4" t="s">
        <v>38</v>
      </c>
      <c r="F5" s="3" t="s">
        <v>32</v>
      </c>
      <c r="G5" s="7">
        <v>15</v>
      </c>
      <c r="H5" s="3" t="s">
        <v>39</v>
      </c>
      <c r="I5" s="5" t="s">
        <v>40</v>
      </c>
      <c r="J5" s="11" t="s">
        <v>35</v>
      </c>
    </row>
    <row r="6" spans="2:10" ht="67.5">
      <c r="B6" s="3">
        <v>3</v>
      </c>
      <c r="C6" s="4" t="s">
        <v>41</v>
      </c>
      <c r="D6" s="4" t="s">
        <v>42</v>
      </c>
      <c r="E6" s="4" t="s">
        <v>42</v>
      </c>
      <c r="F6" s="3" t="s">
        <v>32</v>
      </c>
      <c r="G6" s="7">
        <v>15</v>
      </c>
      <c r="H6" s="3" t="s">
        <v>39</v>
      </c>
      <c r="I6" s="5" t="s">
        <v>43</v>
      </c>
      <c r="J6" s="11" t="s">
        <v>35</v>
      </c>
    </row>
    <row r="7" spans="2:10" ht="54">
      <c r="B7" s="3">
        <v>4</v>
      </c>
      <c r="C7" s="4" t="s">
        <v>44</v>
      </c>
      <c r="D7" s="4" t="s">
        <v>42</v>
      </c>
      <c r="E7" s="4" t="s">
        <v>42</v>
      </c>
      <c r="F7" s="3" t="s">
        <v>45</v>
      </c>
      <c r="G7" s="7">
        <v>100</v>
      </c>
      <c r="H7" s="3" t="s">
        <v>39</v>
      </c>
      <c r="I7" s="8" t="s">
        <v>46</v>
      </c>
      <c r="J7" s="11" t="s">
        <v>35</v>
      </c>
    </row>
    <row r="8" spans="2:10" ht="81">
      <c r="B8" s="4">
        <v>5</v>
      </c>
      <c r="C8" s="4" t="s">
        <v>47</v>
      </c>
      <c r="D8" s="4" t="s">
        <v>42</v>
      </c>
      <c r="E8" s="4" t="s">
        <v>42</v>
      </c>
      <c r="F8" s="3" t="s">
        <v>32</v>
      </c>
      <c r="G8" s="7">
        <v>1</v>
      </c>
      <c r="H8" s="3" t="s">
        <v>33</v>
      </c>
      <c r="I8" s="5" t="s">
        <v>48</v>
      </c>
      <c r="J8" s="11" t="s">
        <v>35</v>
      </c>
    </row>
    <row r="9" spans="2:10" ht="27">
      <c r="B9" s="3">
        <v>6</v>
      </c>
      <c r="C9" s="4" t="s">
        <v>49</v>
      </c>
      <c r="D9" s="4" t="s">
        <v>42</v>
      </c>
      <c r="E9" s="4" t="s">
        <v>42</v>
      </c>
      <c r="F9" s="3" t="s">
        <v>45</v>
      </c>
      <c r="G9" s="7">
        <v>160</v>
      </c>
      <c r="H9" s="3" t="s">
        <v>39</v>
      </c>
      <c r="I9" s="8" t="s">
        <v>50</v>
      </c>
      <c r="J9" s="11" t="s">
        <v>35</v>
      </c>
    </row>
    <row r="10" spans="2:10" ht="27">
      <c r="B10" s="3">
        <v>7</v>
      </c>
      <c r="C10" s="4" t="s">
        <v>51</v>
      </c>
      <c r="D10" s="4" t="s">
        <v>42</v>
      </c>
      <c r="E10" s="4" t="s">
        <v>42</v>
      </c>
      <c r="F10" s="3" t="s">
        <v>45</v>
      </c>
      <c r="G10" s="7">
        <v>40</v>
      </c>
      <c r="H10" s="3" t="s">
        <v>39</v>
      </c>
      <c r="I10" s="8" t="s">
        <v>50</v>
      </c>
      <c r="J10" s="11" t="s">
        <v>35</v>
      </c>
    </row>
    <row r="11" spans="2:10" ht="40.5">
      <c r="B11" s="4">
        <v>8</v>
      </c>
      <c r="C11" s="4" t="s">
        <v>52</v>
      </c>
      <c r="D11" s="4" t="s">
        <v>42</v>
      </c>
      <c r="E11" s="4" t="s">
        <v>42</v>
      </c>
      <c r="F11" s="3" t="s">
        <v>53</v>
      </c>
      <c r="G11" s="7">
        <v>10</v>
      </c>
      <c r="H11" s="3" t="s">
        <v>33</v>
      </c>
      <c r="I11" s="5" t="s">
        <v>54</v>
      </c>
      <c r="J11" s="11" t="s">
        <v>35</v>
      </c>
    </row>
    <row r="12" spans="2:10" ht="40.5">
      <c r="B12" s="3">
        <v>9</v>
      </c>
      <c r="C12" s="4" t="s">
        <v>55</v>
      </c>
      <c r="D12" s="4" t="s">
        <v>38</v>
      </c>
      <c r="E12" s="4" t="s">
        <v>56</v>
      </c>
      <c r="F12" s="3" t="s">
        <v>32</v>
      </c>
      <c r="G12" s="7" t="s">
        <v>57</v>
      </c>
      <c r="H12" s="3" t="s">
        <v>58</v>
      </c>
      <c r="I12" s="5" t="s">
        <v>59</v>
      </c>
      <c r="J12" s="11">
        <v>8</v>
      </c>
    </row>
    <row r="13" spans="2:10" ht="27">
      <c r="B13" s="3">
        <v>10</v>
      </c>
      <c r="C13" s="4" t="s">
        <v>60</v>
      </c>
      <c r="D13" s="4" t="s">
        <v>38</v>
      </c>
      <c r="E13" s="4" t="s">
        <v>61</v>
      </c>
      <c r="F13" s="3" t="s">
        <v>32</v>
      </c>
      <c r="G13" s="7" t="s">
        <v>57</v>
      </c>
      <c r="H13" s="3" t="s">
        <v>58</v>
      </c>
      <c r="I13" s="5" t="s">
        <v>62</v>
      </c>
      <c r="J13" s="11">
        <v>14</v>
      </c>
    </row>
    <row r="14" spans="2:10" ht="27">
      <c r="B14" s="4">
        <v>11</v>
      </c>
      <c r="C14" s="4" t="s">
        <v>63</v>
      </c>
      <c r="D14" s="4" t="s">
        <v>38</v>
      </c>
      <c r="E14" s="4" t="s">
        <v>61</v>
      </c>
      <c r="F14" s="3" t="s">
        <v>32</v>
      </c>
      <c r="G14" s="7" t="s">
        <v>57</v>
      </c>
      <c r="H14" s="3" t="s">
        <v>58</v>
      </c>
      <c r="I14" s="5" t="s">
        <v>64</v>
      </c>
      <c r="J14" s="11">
        <v>19</v>
      </c>
    </row>
    <row r="15" spans="2:10" ht="27">
      <c r="B15" s="3">
        <v>12</v>
      </c>
      <c r="C15" s="4" t="s">
        <v>65</v>
      </c>
      <c r="D15" s="4" t="s">
        <v>38</v>
      </c>
      <c r="E15" s="4" t="s">
        <v>61</v>
      </c>
      <c r="F15" s="3" t="s">
        <v>32</v>
      </c>
      <c r="G15" s="7" t="s">
        <v>57</v>
      </c>
      <c r="H15" s="3" t="s">
        <v>58</v>
      </c>
      <c r="I15" s="5" t="s">
        <v>66</v>
      </c>
      <c r="J15" s="11">
        <v>24</v>
      </c>
    </row>
    <row r="16" spans="2:10" ht="27">
      <c r="B16" s="3">
        <v>13</v>
      </c>
      <c r="C16" s="4" t="s">
        <v>67</v>
      </c>
      <c r="D16" s="4" t="s">
        <v>38</v>
      </c>
      <c r="E16" s="4" t="s">
        <v>61</v>
      </c>
      <c r="F16" s="3" t="s">
        <v>32</v>
      </c>
      <c r="G16" s="7" t="s">
        <v>57</v>
      </c>
      <c r="H16" s="3" t="s">
        <v>58</v>
      </c>
      <c r="I16" s="5" t="s">
        <v>68</v>
      </c>
      <c r="J16" s="11">
        <v>25</v>
      </c>
    </row>
    <row r="17" spans="2:10" ht="40.5">
      <c r="B17" s="4">
        <v>14</v>
      </c>
      <c r="C17" s="4" t="s">
        <v>69</v>
      </c>
      <c r="D17" s="4" t="s">
        <v>38</v>
      </c>
      <c r="E17" s="4" t="s">
        <v>61</v>
      </c>
      <c r="F17" s="3" t="s">
        <v>32</v>
      </c>
      <c r="G17" s="7" t="s">
        <v>57</v>
      </c>
      <c r="H17" s="3" t="s">
        <v>58</v>
      </c>
      <c r="I17" s="5" t="s">
        <v>70</v>
      </c>
      <c r="J17" s="11">
        <v>26</v>
      </c>
    </row>
    <row r="18" spans="2:10" ht="40.5">
      <c r="B18" s="3">
        <v>15</v>
      </c>
      <c r="C18" s="4" t="s">
        <v>71</v>
      </c>
      <c r="D18" s="4" t="s">
        <v>38</v>
      </c>
      <c r="E18" s="4" t="s">
        <v>61</v>
      </c>
      <c r="F18" s="3" t="s">
        <v>32</v>
      </c>
      <c r="G18" s="7" t="s">
        <v>57</v>
      </c>
      <c r="H18" s="3" t="s">
        <v>58</v>
      </c>
      <c r="I18" s="5" t="s">
        <v>72</v>
      </c>
      <c r="J18" s="11">
        <v>27</v>
      </c>
    </row>
    <row r="19" spans="2:10" ht="54">
      <c r="B19" s="3">
        <v>16</v>
      </c>
      <c r="C19" s="4" t="s">
        <v>73</v>
      </c>
      <c r="D19" s="4" t="s">
        <v>38</v>
      </c>
      <c r="E19" s="4" t="s">
        <v>61</v>
      </c>
      <c r="F19" s="3" t="s">
        <v>32</v>
      </c>
      <c r="G19" s="7" t="s">
        <v>57</v>
      </c>
      <c r="H19" s="3" t="s">
        <v>58</v>
      </c>
      <c r="I19" s="5" t="s">
        <v>74</v>
      </c>
      <c r="J19" s="11">
        <v>33</v>
      </c>
    </row>
    <row r="20" spans="2:10" ht="40.5">
      <c r="B20" s="4">
        <v>17</v>
      </c>
      <c r="C20" s="4" t="s">
        <v>75</v>
      </c>
      <c r="D20" s="4" t="s">
        <v>38</v>
      </c>
      <c r="E20" s="4" t="s">
        <v>61</v>
      </c>
      <c r="F20" s="3" t="s">
        <v>32</v>
      </c>
      <c r="G20" s="7" t="s">
        <v>57</v>
      </c>
      <c r="H20" s="3" t="s">
        <v>58</v>
      </c>
      <c r="I20" s="5" t="s">
        <v>76</v>
      </c>
      <c r="J20" s="11">
        <v>55</v>
      </c>
    </row>
    <row r="21" spans="2:10" ht="54">
      <c r="B21" s="3">
        <v>18</v>
      </c>
      <c r="C21" s="4" t="s">
        <v>77</v>
      </c>
      <c r="D21" s="4" t="s">
        <v>38</v>
      </c>
      <c r="E21" s="4" t="s">
        <v>61</v>
      </c>
      <c r="F21" s="3" t="s">
        <v>32</v>
      </c>
      <c r="G21" s="7" t="s">
        <v>57</v>
      </c>
      <c r="H21" s="3" t="s">
        <v>58</v>
      </c>
      <c r="I21" s="5" t="s">
        <v>78</v>
      </c>
      <c r="J21" s="11">
        <v>47</v>
      </c>
    </row>
    <row r="22" spans="2:10" ht="54">
      <c r="B22" s="3">
        <v>19</v>
      </c>
      <c r="C22" s="4" t="s">
        <v>79</v>
      </c>
      <c r="D22" s="4" t="s">
        <v>38</v>
      </c>
      <c r="E22" s="4" t="s">
        <v>61</v>
      </c>
      <c r="F22" s="3" t="s">
        <v>32</v>
      </c>
      <c r="G22" s="7" t="s">
        <v>57</v>
      </c>
      <c r="H22" s="3" t="s">
        <v>58</v>
      </c>
      <c r="I22" s="5" t="s">
        <v>80</v>
      </c>
      <c r="J22" s="11">
        <v>49</v>
      </c>
    </row>
    <row r="23" spans="2:10" ht="54">
      <c r="B23" s="4">
        <v>20</v>
      </c>
      <c r="C23" s="4" t="s">
        <v>81</v>
      </c>
      <c r="D23" s="4" t="s">
        <v>38</v>
      </c>
      <c r="E23" s="4" t="s">
        <v>61</v>
      </c>
      <c r="F23" s="3" t="s">
        <v>32</v>
      </c>
      <c r="G23" s="7" t="s">
        <v>57</v>
      </c>
      <c r="H23" s="3" t="s">
        <v>58</v>
      </c>
      <c r="I23" s="5" t="s">
        <v>82</v>
      </c>
      <c r="J23" s="11">
        <v>40</v>
      </c>
    </row>
    <row r="24" spans="2:10" ht="54">
      <c r="B24" s="3">
        <v>21</v>
      </c>
      <c r="C24" s="4" t="s">
        <v>83</v>
      </c>
      <c r="D24" s="4" t="s">
        <v>38</v>
      </c>
      <c r="E24" s="4" t="s">
        <v>61</v>
      </c>
      <c r="F24" s="3" t="s">
        <v>32</v>
      </c>
      <c r="G24" s="7" t="s">
        <v>57</v>
      </c>
      <c r="H24" s="3" t="s">
        <v>58</v>
      </c>
      <c r="I24" s="5" t="s">
        <v>84</v>
      </c>
      <c r="J24" s="11">
        <v>42</v>
      </c>
    </row>
    <row r="25" spans="2:10" ht="54">
      <c r="B25" s="3">
        <v>22</v>
      </c>
      <c r="C25" s="4" t="s">
        <v>85</v>
      </c>
      <c r="D25" s="4" t="s">
        <v>38</v>
      </c>
      <c r="E25" s="4" t="s">
        <v>61</v>
      </c>
      <c r="F25" s="3" t="s">
        <v>32</v>
      </c>
      <c r="G25" s="7" t="s">
        <v>57</v>
      </c>
      <c r="H25" s="3" t="s">
        <v>58</v>
      </c>
      <c r="I25" s="5" t="s">
        <v>86</v>
      </c>
      <c r="J25" s="11">
        <v>43</v>
      </c>
    </row>
    <row r="26" spans="2:10" ht="27">
      <c r="B26" s="4">
        <v>23</v>
      </c>
      <c r="C26" s="4" t="s">
        <v>87</v>
      </c>
      <c r="D26" s="4" t="s">
        <v>38</v>
      </c>
      <c r="E26" s="4" t="s">
        <v>61</v>
      </c>
      <c r="F26" s="3" t="s">
        <v>32</v>
      </c>
      <c r="G26" s="7" t="s">
        <v>57</v>
      </c>
      <c r="H26" s="3" t="s">
        <v>58</v>
      </c>
      <c r="I26" s="5" t="s">
        <v>88</v>
      </c>
      <c r="J26" s="11">
        <v>53</v>
      </c>
    </row>
    <row r="27" spans="2:10" ht="54">
      <c r="B27" s="3">
        <v>24</v>
      </c>
      <c r="C27" s="4" t="s">
        <v>89</v>
      </c>
      <c r="D27" s="4" t="s">
        <v>38</v>
      </c>
      <c r="E27" s="4" t="s">
        <v>61</v>
      </c>
      <c r="F27" s="3" t="s">
        <v>32</v>
      </c>
      <c r="G27" s="7" t="s">
        <v>57</v>
      </c>
      <c r="H27" s="3" t="s">
        <v>58</v>
      </c>
      <c r="I27" s="5" t="s">
        <v>90</v>
      </c>
      <c r="J27" s="11">
        <v>54</v>
      </c>
    </row>
    <row r="28" spans="2:10" ht="40.5">
      <c r="B28" s="3">
        <v>25</v>
      </c>
      <c r="C28" s="4" t="s">
        <v>91</v>
      </c>
      <c r="D28" s="4" t="s">
        <v>38</v>
      </c>
      <c r="E28" s="4" t="s">
        <v>61</v>
      </c>
      <c r="F28" s="3" t="s">
        <v>32</v>
      </c>
      <c r="G28" s="7" t="s">
        <v>57</v>
      </c>
      <c r="H28" s="3" t="s">
        <v>58</v>
      </c>
      <c r="I28" s="5" t="s">
        <v>92</v>
      </c>
      <c r="J28" s="11">
        <v>56</v>
      </c>
    </row>
    <row r="29" spans="2:10" ht="40.5">
      <c r="B29" s="4">
        <v>26</v>
      </c>
      <c r="C29" s="4" t="s">
        <v>93</v>
      </c>
      <c r="D29" s="4" t="s">
        <v>38</v>
      </c>
      <c r="E29" s="4" t="s">
        <v>61</v>
      </c>
      <c r="F29" s="3" t="s">
        <v>32</v>
      </c>
      <c r="G29" s="7" t="s">
        <v>57</v>
      </c>
      <c r="H29" s="3" t="s">
        <v>58</v>
      </c>
      <c r="I29" s="5" t="s">
        <v>94</v>
      </c>
      <c r="J29" s="11">
        <v>34</v>
      </c>
    </row>
    <row r="30" spans="2:10" ht="27">
      <c r="B30" s="3">
        <v>27</v>
      </c>
      <c r="C30" s="4" t="s">
        <v>95</v>
      </c>
      <c r="D30" s="4" t="s">
        <v>38</v>
      </c>
      <c r="E30" s="4" t="s">
        <v>61</v>
      </c>
      <c r="F30" s="3" t="s">
        <v>32</v>
      </c>
      <c r="G30" s="7" t="s">
        <v>57</v>
      </c>
      <c r="H30" s="3" t="s">
        <v>58</v>
      </c>
      <c r="I30" s="5" t="s">
        <v>96</v>
      </c>
      <c r="J30" s="11">
        <v>35</v>
      </c>
    </row>
    <row r="31" spans="2:10" ht="40.5">
      <c r="B31" s="3">
        <v>28</v>
      </c>
      <c r="C31" s="4" t="s">
        <v>97</v>
      </c>
      <c r="D31" s="4" t="s">
        <v>38</v>
      </c>
      <c r="E31" s="4" t="s">
        <v>61</v>
      </c>
      <c r="F31" s="3" t="s">
        <v>32</v>
      </c>
      <c r="G31" s="7" t="s">
        <v>57</v>
      </c>
      <c r="H31" s="3" t="s">
        <v>58</v>
      </c>
      <c r="I31" s="5" t="s">
        <v>98</v>
      </c>
      <c r="J31" s="11">
        <v>63</v>
      </c>
    </row>
    <row r="32" spans="2:10" ht="40.5">
      <c r="B32" s="4">
        <v>29</v>
      </c>
      <c r="C32" s="4" t="s">
        <v>99</v>
      </c>
      <c r="D32" s="4" t="s">
        <v>38</v>
      </c>
      <c r="E32" s="4" t="s">
        <v>61</v>
      </c>
      <c r="F32" s="3" t="s">
        <v>32</v>
      </c>
      <c r="G32" s="7" t="s">
        <v>57</v>
      </c>
      <c r="H32" s="3" t="s">
        <v>58</v>
      </c>
      <c r="I32" s="5" t="s">
        <v>100</v>
      </c>
      <c r="J32" s="11">
        <v>69</v>
      </c>
    </row>
    <row r="33" spans="2:10" ht="81">
      <c r="B33" s="3">
        <v>30</v>
      </c>
      <c r="C33" s="4" t="s">
        <v>101</v>
      </c>
      <c r="D33" s="4" t="s">
        <v>38</v>
      </c>
      <c r="E33" s="4" t="s">
        <v>61</v>
      </c>
      <c r="F33" s="3" t="s">
        <v>32</v>
      </c>
      <c r="G33" s="7" t="s">
        <v>57</v>
      </c>
      <c r="H33" s="3" t="s">
        <v>58</v>
      </c>
      <c r="I33" s="5" t="s">
        <v>102</v>
      </c>
      <c r="J33" s="11">
        <v>64</v>
      </c>
    </row>
    <row r="34" spans="2:10" ht="40.5">
      <c r="B34" s="3">
        <v>31</v>
      </c>
      <c r="C34" s="4" t="s">
        <v>103</v>
      </c>
      <c r="D34" s="4" t="s">
        <v>38</v>
      </c>
      <c r="E34" s="4" t="s">
        <v>61</v>
      </c>
      <c r="F34" s="3" t="s">
        <v>32</v>
      </c>
      <c r="G34" s="7" t="s">
        <v>57</v>
      </c>
      <c r="H34" s="3" t="s">
        <v>58</v>
      </c>
      <c r="I34" s="5" t="s">
        <v>104</v>
      </c>
      <c r="J34" s="11">
        <v>65</v>
      </c>
    </row>
    <row r="35" spans="2:10" ht="81">
      <c r="B35" s="4">
        <v>32</v>
      </c>
      <c r="C35" s="4" t="s">
        <v>105</v>
      </c>
      <c r="D35" s="4" t="s">
        <v>38</v>
      </c>
      <c r="E35" s="4" t="s">
        <v>61</v>
      </c>
      <c r="F35" s="3" t="s">
        <v>32</v>
      </c>
      <c r="G35" s="7" t="s">
        <v>57</v>
      </c>
      <c r="H35" s="3" t="s">
        <v>58</v>
      </c>
      <c r="I35" s="5" t="s">
        <v>106</v>
      </c>
      <c r="J35" s="11">
        <v>66</v>
      </c>
    </row>
    <row r="36" spans="2:10" ht="40.5">
      <c r="B36" s="3">
        <v>33</v>
      </c>
      <c r="C36" s="4" t="s">
        <v>107</v>
      </c>
      <c r="D36" s="4" t="s">
        <v>38</v>
      </c>
      <c r="E36" s="4" t="s">
        <v>61</v>
      </c>
      <c r="F36" s="3" t="s">
        <v>32</v>
      </c>
      <c r="G36" s="7" t="s">
        <v>57</v>
      </c>
      <c r="H36" s="3" t="s">
        <v>58</v>
      </c>
      <c r="I36" s="5" t="s">
        <v>108</v>
      </c>
      <c r="J36" s="11">
        <v>67</v>
      </c>
    </row>
    <row r="37" spans="2:10" ht="40.5">
      <c r="B37" s="3">
        <v>34</v>
      </c>
      <c r="C37" s="4" t="s">
        <v>109</v>
      </c>
      <c r="D37" s="4" t="s">
        <v>38</v>
      </c>
      <c r="E37" s="4" t="s">
        <v>61</v>
      </c>
      <c r="F37" s="3" t="s">
        <v>32</v>
      </c>
      <c r="G37" s="7" t="s">
        <v>57</v>
      </c>
      <c r="H37" s="3" t="s">
        <v>58</v>
      </c>
      <c r="I37" s="5" t="s">
        <v>110</v>
      </c>
      <c r="J37" s="11">
        <v>68</v>
      </c>
    </row>
    <row r="38" spans="2:10" ht="27">
      <c r="B38" s="4">
        <v>35</v>
      </c>
      <c r="C38" s="4" t="s">
        <v>111</v>
      </c>
      <c r="D38" s="4" t="s">
        <v>38</v>
      </c>
      <c r="E38" s="4" t="s">
        <v>61</v>
      </c>
      <c r="F38" s="3" t="s">
        <v>32</v>
      </c>
      <c r="G38" s="7" t="s">
        <v>57</v>
      </c>
      <c r="H38" s="3" t="s">
        <v>58</v>
      </c>
      <c r="I38" s="5" t="s">
        <v>112</v>
      </c>
      <c r="J38" s="11">
        <v>41</v>
      </c>
    </row>
    <row r="39" spans="2:10" ht="27">
      <c r="B39" s="3">
        <v>36</v>
      </c>
      <c r="C39" s="4" t="s">
        <v>113</v>
      </c>
      <c r="D39" s="4" t="s">
        <v>38</v>
      </c>
      <c r="E39" s="4" t="s">
        <v>61</v>
      </c>
      <c r="F39" s="3" t="s">
        <v>32</v>
      </c>
      <c r="G39" s="7" t="s">
        <v>57</v>
      </c>
      <c r="H39" s="3" t="s">
        <v>58</v>
      </c>
      <c r="I39" s="5" t="s">
        <v>114</v>
      </c>
      <c r="J39" s="11">
        <v>44</v>
      </c>
    </row>
    <row r="40" spans="2:10" ht="27">
      <c r="B40" s="3">
        <v>37</v>
      </c>
      <c r="C40" s="4" t="s">
        <v>115</v>
      </c>
      <c r="D40" s="4" t="s">
        <v>38</v>
      </c>
      <c r="E40" s="4" t="s">
        <v>61</v>
      </c>
      <c r="F40" s="3" t="s">
        <v>32</v>
      </c>
      <c r="G40" s="7" t="s">
        <v>57</v>
      </c>
      <c r="H40" s="3" t="s">
        <v>58</v>
      </c>
      <c r="I40" s="5" t="s">
        <v>116</v>
      </c>
      <c r="J40" s="11">
        <v>48</v>
      </c>
    </row>
    <row r="41" spans="2:10" ht="27">
      <c r="B41" s="4">
        <v>38</v>
      </c>
      <c r="C41" s="4" t="s">
        <v>117</v>
      </c>
      <c r="D41" s="4" t="s">
        <v>38</v>
      </c>
      <c r="E41" s="4" t="s">
        <v>61</v>
      </c>
      <c r="F41" s="3" t="s">
        <v>32</v>
      </c>
      <c r="G41" s="7" t="s">
        <v>57</v>
      </c>
      <c r="H41" s="3" t="s">
        <v>58</v>
      </c>
      <c r="I41" s="5" t="s">
        <v>118</v>
      </c>
      <c r="J41" s="11">
        <v>50</v>
      </c>
    </row>
    <row r="42" spans="2:10" ht="40.5">
      <c r="B42" s="3">
        <v>39</v>
      </c>
      <c r="C42" s="4" t="s">
        <v>119</v>
      </c>
      <c r="D42" s="4" t="s">
        <v>38</v>
      </c>
      <c r="E42" s="4" t="s">
        <v>61</v>
      </c>
      <c r="F42" s="3" t="s">
        <v>32</v>
      </c>
      <c r="G42" s="7" t="s">
        <v>120</v>
      </c>
      <c r="H42" s="3" t="s">
        <v>58</v>
      </c>
      <c r="I42" s="5" t="s">
        <v>121</v>
      </c>
      <c r="J42" s="11">
        <v>70</v>
      </c>
    </row>
    <row r="43" spans="2:10" ht="40.5">
      <c r="B43" s="3">
        <v>40</v>
      </c>
      <c r="C43" s="4" t="s">
        <v>122</v>
      </c>
      <c r="D43" s="4" t="s">
        <v>38</v>
      </c>
      <c r="E43" s="4" t="s">
        <v>61</v>
      </c>
      <c r="F43" s="3" t="s">
        <v>32</v>
      </c>
      <c r="G43" s="7" t="s">
        <v>120</v>
      </c>
      <c r="H43" s="3" t="s">
        <v>58</v>
      </c>
      <c r="I43" s="5" t="s">
        <v>123</v>
      </c>
      <c r="J43" s="11">
        <v>71</v>
      </c>
    </row>
    <row r="44" spans="2:10" ht="40.5">
      <c r="B44" s="4">
        <v>41</v>
      </c>
      <c r="C44" s="4" t="s">
        <v>124</v>
      </c>
      <c r="D44" s="4" t="s">
        <v>38</v>
      </c>
      <c r="E44" s="4" t="s">
        <v>61</v>
      </c>
      <c r="F44" s="3" t="s">
        <v>32</v>
      </c>
      <c r="G44" s="7" t="s">
        <v>120</v>
      </c>
      <c r="H44" s="3" t="s">
        <v>58</v>
      </c>
      <c r="I44" s="5" t="s">
        <v>125</v>
      </c>
      <c r="J44" s="11">
        <v>72</v>
      </c>
    </row>
    <row r="45" spans="2:10" ht="40.5">
      <c r="B45" s="3">
        <v>42</v>
      </c>
      <c r="C45" s="4" t="s">
        <v>126</v>
      </c>
      <c r="D45" s="4" t="s">
        <v>38</v>
      </c>
      <c r="E45" s="4" t="s">
        <v>61</v>
      </c>
      <c r="F45" s="3" t="s">
        <v>32</v>
      </c>
      <c r="G45" s="7" t="s">
        <v>120</v>
      </c>
      <c r="H45" s="3" t="s">
        <v>58</v>
      </c>
      <c r="I45" s="5" t="s">
        <v>127</v>
      </c>
      <c r="J45" s="11">
        <v>73</v>
      </c>
    </row>
    <row r="46" spans="2:10" ht="54">
      <c r="B46" s="3">
        <v>43</v>
      </c>
      <c r="C46" s="4" t="s">
        <v>128</v>
      </c>
      <c r="D46" s="4" t="s">
        <v>38</v>
      </c>
      <c r="E46" s="4" t="s">
        <v>61</v>
      </c>
      <c r="F46" s="3" t="s">
        <v>32</v>
      </c>
      <c r="G46" s="7" t="s">
        <v>120</v>
      </c>
      <c r="H46" s="3" t="s">
        <v>58</v>
      </c>
      <c r="I46" s="5" t="s">
        <v>129</v>
      </c>
      <c r="J46" s="11">
        <v>74</v>
      </c>
    </row>
    <row r="47" spans="2:10" ht="54">
      <c r="B47" s="4">
        <v>44</v>
      </c>
      <c r="C47" s="4" t="s">
        <v>130</v>
      </c>
      <c r="D47" s="4" t="s">
        <v>38</v>
      </c>
      <c r="E47" s="4" t="s">
        <v>61</v>
      </c>
      <c r="F47" s="3" t="s">
        <v>32</v>
      </c>
      <c r="G47" s="7" t="s">
        <v>120</v>
      </c>
      <c r="H47" s="3" t="s">
        <v>58</v>
      </c>
      <c r="I47" s="5" t="s">
        <v>131</v>
      </c>
      <c r="J47" s="11">
        <v>75</v>
      </c>
    </row>
    <row r="48" spans="2:10" ht="27">
      <c r="B48" s="3">
        <v>45</v>
      </c>
      <c r="C48" s="4" t="s">
        <v>132</v>
      </c>
      <c r="D48" s="4" t="s">
        <v>38</v>
      </c>
      <c r="E48" s="4" t="s">
        <v>61</v>
      </c>
      <c r="F48" s="3" t="s">
        <v>32</v>
      </c>
      <c r="G48" s="7" t="s">
        <v>120</v>
      </c>
      <c r="H48" s="3" t="s">
        <v>58</v>
      </c>
      <c r="I48" s="5" t="s">
        <v>133</v>
      </c>
      <c r="J48" s="11">
        <v>76</v>
      </c>
    </row>
    <row r="49" spans="2:10" ht="40.5">
      <c r="B49" s="3">
        <v>46</v>
      </c>
      <c r="C49" s="4" t="s">
        <v>134</v>
      </c>
      <c r="D49" s="4" t="s">
        <v>38</v>
      </c>
      <c r="E49" s="4" t="s">
        <v>38</v>
      </c>
      <c r="F49" s="3" t="s">
        <v>32</v>
      </c>
      <c r="G49" s="7" t="s">
        <v>135</v>
      </c>
      <c r="H49" s="3" t="s">
        <v>136</v>
      </c>
      <c r="I49" s="5" t="s">
        <v>137</v>
      </c>
      <c r="J49" s="11">
        <v>77</v>
      </c>
    </row>
    <row r="50" spans="2:10" ht="40.5">
      <c r="B50" s="4">
        <v>47</v>
      </c>
      <c r="C50" s="4" t="s">
        <v>138</v>
      </c>
      <c r="D50" s="4" t="s">
        <v>38</v>
      </c>
      <c r="E50" s="4" t="s">
        <v>38</v>
      </c>
      <c r="F50" s="3" t="s">
        <v>32</v>
      </c>
      <c r="G50" s="7">
        <v>2</v>
      </c>
      <c r="H50" s="3" t="s">
        <v>39</v>
      </c>
      <c r="I50" s="5" t="s">
        <v>139</v>
      </c>
      <c r="J50" s="11">
        <v>80</v>
      </c>
    </row>
    <row r="51" spans="2:10" ht="40.5">
      <c r="B51" s="3">
        <v>48</v>
      </c>
      <c r="C51" s="4" t="s">
        <v>140</v>
      </c>
      <c r="D51" s="4" t="s">
        <v>38</v>
      </c>
      <c r="E51" s="4" t="s">
        <v>38</v>
      </c>
      <c r="F51" s="3" t="s">
        <v>32</v>
      </c>
      <c r="G51" s="7">
        <v>2</v>
      </c>
      <c r="H51" s="3" t="s">
        <v>39</v>
      </c>
      <c r="I51" s="5" t="s">
        <v>141</v>
      </c>
      <c r="J51" s="11">
        <v>81</v>
      </c>
    </row>
    <row r="52" spans="2:10" ht="40.5">
      <c r="B52" s="3">
        <v>49</v>
      </c>
      <c r="C52" s="4" t="s">
        <v>142</v>
      </c>
      <c r="D52" s="4" t="s">
        <v>38</v>
      </c>
      <c r="E52" s="4" t="s">
        <v>38</v>
      </c>
      <c r="F52" s="3" t="s">
        <v>32</v>
      </c>
      <c r="G52" s="7">
        <v>2</v>
      </c>
      <c r="H52" s="3" t="s">
        <v>39</v>
      </c>
      <c r="I52" s="5" t="s">
        <v>143</v>
      </c>
      <c r="J52" s="11">
        <v>82</v>
      </c>
    </row>
    <row r="53" spans="2:10" ht="40.5">
      <c r="B53" s="4">
        <v>50</v>
      </c>
      <c r="C53" s="4" t="s">
        <v>144</v>
      </c>
      <c r="D53" s="4" t="s">
        <v>38</v>
      </c>
      <c r="E53" s="4" t="s">
        <v>61</v>
      </c>
      <c r="F53" s="3" t="s">
        <v>32</v>
      </c>
      <c r="G53" s="7">
        <v>2</v>
      </c>
      <c r="H53" s="3" t="s">
        <v>39</v>
      </c>
      <c r="I53" s="5" t="s">
        <v>145</v>
      </c>
      <c r="J53" s="11">
        <v>83</v>
      </c>
    </row>
    <row r="54" spans="2:10" ht="27">
      <c r="B54" s="3">
        <v>51</v>
      </c>
      <c r="C54" s="4" t="s">
        <v>146</v>
      </c>
      <c r="D54" s="4" t="s">
        <v>38</v>
      </c>
      <c r="E54" s="4" t="s">
        <v>61</v>
      </c>
      <c r="F54" s="3" t="s">
        <v>32</v>
      </c>
      <c r="G54" s="7">
        <v>2</v>
      </c>
      <c r="H54" s="3" t="s">
        <v>39</v>
      </c>
      <c r="I54" s="5" t="s">
        <v>147</v>
      </c>
      <c r="J54" s="11">
        <v>87</v>
      </c>
    </row>
    <row r="55" spans="2:10" ht="27">
      <c r="B55" s="3">
        <v>52</v>
      </c>
      <c r="C55" s="4" t="s">
        <v>148</v>
      </c>
      <c r="D55" s="4" t="s">
        <v>38</v>
      </c>
      <c r="E55" s="4" t="s">
        <v>61</v>
      </c>
      <c r="F55" s="3" t="s">
        <v>32</v>
      </c>
      <c r="G55" s="7">
        <v>2</v>
      </c>
      <c r="H55" s="3" t="s">
        <v>39</v>
      </c>
      <c r="I55" s="5" t="s">
        <v>149</v>
      </c>
      <c r="J55" s="11">
        <v>88</v>
      </c>
    </row>
    <row r="56" spans="2:10" ht="27">
      <c r="B56" s="4">
        <v>53</v>
      </c>
      <c r="C56" s="4" t="s">
        <v>150</v>
      </c>
      <c r="D56" s="4" t="s">
        <v>38</v>
      </c>
      <c r="E56" s="4" t="s">
        <v>61</v>
      </c>
      <c r="F56" s="3" t="s">
        <v>32</v>
      </c>
      <c r="G56" s="7">
        <v>2</v>
      </c>
      <c r="H56" s="3" t="s">
        <v>39</v>
      </c>
      <c r="I56" s="5" t="s">
        <v>151</v>
      </c>
      <c r="J56" s="11">
        <v>89</v>
      </c>
    </row>
    <row r="57" spans="2:10" ht="40.5">
      <c r="B57" s="3">
        <v>54</v>
      </c>
      <c r="C57" s="4" t="s">
        <v>152</v>
      </c>
      <c r="D57" s="4" t="s">
        <v>38</v>
      </c>
      <c r="E57" s="4" t="s">
        <v>61</v>
      </c>
      <c r="F57" s="3" t="s">
        <v>32</v>
      </c>
      <c r="G57" s="7" t="s">
        <v>135</v>
      </c>
      <c r="H57" s="3" t="s">
        <v>136</v>
      </c>
      <c r="I57" s="5" t="s">
        <v>153</v>
      </c>
      <c r="J57" s="11">
        <v>92</v>
      </c>
    </row>
    <row r="58" spans="2:10" ht="40.5">
      <c r="B58" s="3">
        <v>55</v>
      </c>
      <c r="C58" s="4" t="s">
        <v>154</v>
      </c>
      <c r="D58" s="4" t="s">
        <v>38</v>
      </c>
      <c r="E58" s="4" t="s">
        <v>61</v>
      </c>
      <c r="F58" s="3" t="s">
        <v>32</v>
      </c>
      <c r="G58" s="7" t="s">
        <v>135</v>
      </c>
      <c r="H58" s="3" t="s">
        <v>136</v>
      </c>
      <c r="I58" s="5" t="s">
        <v>155</v>
      </c>
      <c r="J58" s="11">
        <v>93</v>
      </c>
    </row>
    <row r="59" spans="2:10" ht="27">
      <c r="B59" s="4">
        <v>56</v>
      </c>
      <c r="C59" s="4" t="s">
        <v>156</v>
      </c>
      <c r="D59" s="4" t="s">
        <v>38</v>
      </c>
      <c r="E59" s="4" t="s">
        <v>61</v>
      </c>
      <c r="F59" s="3" t="s">
        <v>32</v>
      </c>
      <c r="G59" s="7" t="s">
        <v>135</v>
      </c>
      <c r="H59" s="3" t="s">
        <v>136</v>
      </c>
      <c r="I59" s="5" t="s">
        <v>157</v>
      </c>
      <c r="J59" s="11">
        <v>94</v>
      </c>
    </row>
    <row r="60" spans="2:10" ht="40.5">
      <c r="B60" s="3">
        <v>57</v>
      </c>
      <c r="C60" s="4" t="s">
        <v>158</v>
      </c>
      <c r="D60" s="4" t="s">
        <v>38</v>
      </c>
      <c r="E60" s="4" t="s">
        <v>61</v>
      </c>
      <c r="F60" s="3" t="s">
        <v>32</v>
      </c>
      <c r="G60" s="7" t="s">
        <v>120</v>
      </c>
      <c r="H60" s="3" t="s">
        <v>58</v>
      </c>
      <c r="I60" s="5" t="s">
        <v>159</v>
      </c>
      <c r="J60" s="11">
        <v>103</v>
      </c>
    </row>
    <row r="61" spans="2:10" ht="27">
      <c r="B61" s="3">
        <v>58</v>
      </c>
      <c r="C61" s="4" t="s">
        <v>160</v>
      </c>
      <c r="D61" s="4" t="s">
        <v>38</v>
      </c>
      <c r="E61" s="4" t="s">
        <v>38</v>
      </c>
      <c r="F61" s="3" t="s">
        <v>32</v>
      </c>
      <c r="G61" s="7">
        <v>13</v>
      </c>
      <c r="H61" s="3" t="s">
        <v>58</v>
      </c>
      <c r="I61" s="5" t="s">
        <v>161</v>
      </c>
      <c r="J61" s="11">
        <v>124</v>
      </c>
    </row>
    <row r="62" spans="2:10" ht="27">
      <c r="B62" s="4">
        <v>59</v>
      </c>
      <c r="C62" s="4" t="s">
        <v>162</v>
      </c>
      <c r="D62" s="4" t="s">
        <v>38</v>
      </c>
      <c r="E62" s="4" t="s">
        <v>38</v>
      </c>
      <c r="F62" s="3" t="s">
        <v>32</v>
      </c>
      <c r="G62" s="7" t="s">
        <v>57</v>
      </c>
      <c r="H62" s="3" t="s">
        <v>58</v>
      </c>
      <c r="I62" s="5" t="s">
        <v>163</v>
      </c>
      <c r="J62" s="11">
        <v>127</v>
      </c>
    </row>
    <row r="63" spans="2:10" ht="40.5">
      <c r="B63" s="3">
        <v>60</v>
      </c>
      <c r="C63" s="4" t="s">
        <v>164</v>
      </c>
      <c r="D63" s="4" t="s">
        <v>38</v>
      </c>
      <c r="E63" s="4" t="s">
        <v>38</v>
      </c>
      <c r="F63" s="3" t="s">
        <v>32</v>
      </c>
      <c r="G63" s="7" t="s">
        <v>165</v>
      </c>
      <c r="H63" s="3" t="s">
        <v>58</v>
      </c>
      <c r="I63" s="5" t="s">
        <v>166</v>
      </c>
      <c r="J63" s="11">
        <v>84</v>
      </c>
    </row>
    <row r="64" spans="2:10" ht="40.5">
      <c r="B64" s="3">
        <v>61</v>
      </c>
      <c r="C64" s="4" t="s">
        <v>167</v>
      </c>
      <c r="D64" s="4" t="s">
        <v>38</v>
      </c>
      <c r="E64" s="4" t="s">
        <v>38</v>
      </c>
      <c r="F64" s="3" t="s">
        <v>32</v>
      </c>
      <c r="G64" s="7" t="s">
        <v>57</v>
      </c>
      <c r="H64" s="3" t="s">
        <v>58</v>
      </c>
      <c r="I64" s="5" t="s">
        <v>168</v>
      </c>
      <c r="J64" s="11">
        <v>4</v>
      </c>
    </row>
    <row r="65" spans="2:10">
      <c r="B65" s="4">
        <v>62</v>
      </c>
      <c r="C65" s="4" t="s">
        <v>169</v>
      </c>
      <c r="D65" s="4" t="s">
        <v>38</v>
      </c>
      <c r="E65" s="4" t="s">
        <v>38</v>
      </c>
      <c r="F65" s="3" t="s">
        <v>32</v>
      </c>
      <c r="G65" s="7" t="s">
        <v>165</v>
      </c>
      <c r="H65" s="3" t="s">
        <v>58</v>
      </c>
      <c r="I65" s="5" t="s">
        <v>170</v>
      </c>
      <c r="J65" s="11" t="s">
        <v>35</v>
      </c>
    </row>
    <row r="66" spans="2:10">
      <c r="B66" s="3">
        <v>63</v>
      </c>
      <c r="C66" s="4" t="s">
        <v>171</v>
      </c>
      <c r="D66" s="4" t="s">
        <v>61</v>
      </c>
      <c r="E66" s="4" t="s">
        <v>38</v>
      </c>
      <c r="F66" s="3" t="s">
        <v>32</v>
      </c>
      <c r="G66" s="7" t="s">
        <v>57</v>
      </c>
      <c r="H66" s="3" t="s">
        <v>58</v>
      </c>
      <c r="I66" s="5" t="s">
        <v>172</v>
      </c>
      <c r="J66" s="11" t="s">
        <v>35</v>
      </c>
    </row>
    <row r="67" spans="2:10" ht="54">
      <c r="B67" s="3">
        <v>64</v>
      </c>
      <c r="C67" s="8" t="s">
        <v>173</v>
      </c>
      <c r="D67" s="4" t="s">
        <v>61</v>
      </c>
      <c r="E67" s="4" t="s">
        <v>42</v>
      </c>
      <c r="F67" s="3" t="s">
        <v>32</v>
      </c>
      <c r="G67" s="7" t="s">
        <v>165</v>
      </c>
      <c r="H67" s="3" t="s">
        <v>58</v>
      </c>
      <c r="I67" s="5" t="s">
        <v>174</v>
      </c>
      <c r="J67" s="11" t="s">
        <v>35</v>
      </c>
    </row>
    <row r="68" spans="2:10" ht="54">
      <c r="B68" s="4">
        <v>65</v>
      </c>
      <c r="C68" s="8" t="s">
        <v>175</v>
      </c>
      <c r="D68" s="4" t="s">
        <v>61</v>
      </c>
      <c r="E68" s="4" t="s">
        <v>42</v>
      </c>
      <c r="F68" s="3" t="s">
        <v>32</v>
      </c>
      <c r="G68" s="7" t="s">
        <v>57</v>
      </c>
      <c r="H68" s="3" t="s">
        <v>58</v>
      </c>
      <c r="I68" s="5" t="s">
        <v>176</v>
      </c>
      <c r="J68" s="11" t="s">
        <v>35</v>
      </c>
    </row>
  </sheetData>
  <mergeCells count="8">
    <mergeCell ref="J2:J3"/>
    <mergeCell ref="H2:H3"/>
    <mergeCell ref="I2:I3"/>
    <mergeCell ref="B2:B3"/>
    <mergeCell ref="C2:C3"/>
    <mergeCell ref="D2:E2"/>
    <mergeCell ref="F2:F3"/>
    <mergeCell ref="G2:G3"/>
  </mergeCells>
  <phoneticPr fontId="1"/>
  <pageMargins left="0.7" right="0.7" top="0.75" bottom="0.75" header="0.3" footer="0.3"/>
  <pageSetup paperSize="9" scale="55"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2:G19"/>
  <sheetViews>
    <sheetView view="pageBreakPreview" zoomScale="60" zoomScaleNormal="115" workbookViewId="0">
      <selection activeCell="B2" sqref="B2"/>
    </sheetView>
  </sheetViews>
  <sheetFormatPr defaultColWidth="9" defaultRowHeight="13.5"/>
  <cols>
    <col min="1" max="2" width="9" style="2"/>
    <col min="3" max="3" width="65" style="2" bestFit="1" customWidth="1"/>
    <col min="4" max="4" width="15.125" style="2" bestFit="1" customWidth="1"/>
    <col min="5" max="5" width="9" style="2"/>
    <col min="6" max="6" width="14.125" style="2" bestFit="1" customWidth="1"/>
    <col min="7" max="7" width="47.625" style="2" bestFit="1" customWidth="1"/>
    <col min="8" max="16384" width="9" style="2"/>
  </cols>
  <sheetData>
    <row r="2" spans="2:7" ht="13.5" customHeight="1" thickBot="1">
      <c r="B2" s="1" t="s">
        <v>20</v>
      </c>
      <c r="C2" s="1" t="s">
        <v>177</v>
      </c>
      <c r="D2" s="1" t="s">
        <v>23</v>
      </c>
      <c r="E2" s="1" t="s">
        <v>24</v>
      </c>
      <c r="F2" s="1" t="s">
        <v>25</v>
      </c>
      <c r="G2" s="1" t="s">
        <v>178</v>
      </c>
    </row>
    <row r="3" spans="2:7" ht="14.25" thickTop="1">
      <c r="B3" s="3">
        <v>1</v>
      </c>
      <c r="C3" s="4" t="s">
        <v>36</v>
      </c>
      <c r="D3" s="3" t="s">
        <v>179</v>
      </c>
      <c r="E3" s="3">
        <v>15</v>
      </c>
      <c r="F3" s="3" t="s">
        <v>180</v>
      </c>
      <c r="G3" s="3" t="s">
        <v>181</v>
      </c>
    </row>
    <row r="4" spans="2:7">
      <c r="B4" s="3">
        <v>2</v>
      </c>
      <c r="C4" s="4" t="s">
        <v>41</v>
      </c>
      <c r="D4" s="3" t="s">
        <v>179</v>
      </c>
      <c r="E4" s="3">
        <v>15</v>
      </c>
      <c r="F4" s="3" t="s">
        <v>180</v>
      </c>
      <c r="G4" s="4" t="s">
        <v>182</v>
      </c>
    </row>
    <row r="5" spans="2:7">
      <c r="B5" s="4">
        <v>3</v>
      </c>
      <c r="C5" s="4" t="s">
        <v>183</v>
      </c>
      <c r="D5" s="4" t="s">
        <v>45</v>
      </c>
      <c r="E5" s="4">
        <v>100</v>
      </c>
      <c r="F5" s="4" t="s">
        <v>58</v>
      </c>
      <c r="G5" s="4" t="s">
        <v>182</v>
      </c>
    </row>
    <row r="6" spans="2:7">
      <c r="B6" s="3">
        <v>4</v>
      </c>
      <c r="C6" s="4" t="s">
        <v>184</v>
      </c>
      <c r="D6" s="4" t="s">
        <v>185</v>
      </c>
      <c r="E6" s="4">
        <v>1</v>
      </c>
      <c r="F6" s="4" t="s">
        <v>33</v>
      </c>
      <c r="G6" s="4" t="s">
        <v>182</v>
      </c>
    </row>
    <row r="7" spans="2:7">
      <c r="B7" s="3">
        <v>5</v>
      </c>
      <c r="C7" s="4" t="s">
        <v>186</v>
      </c>
      <c r="D7" s="4" t="s">
        <v>45</v>
      </c>
      <c r="E7" s="4">
        <v>160</v>
      </c>
      <c r="F7" s="4" t="s">
        <v>58</v>
      </c>
      <c r="G7" s="4" t="s">
        <v>182</v>
      </c>
    </row>
    <row r="8" spans="2:7">
      <c r="B8" s="4">
        <v>6</v>
      </c>
      <c r="C8" s="4" t="s">
        <v>51</v>
      </c>
      <c r="D8" s="4" t="s">
        <v>45</v>
      </c>
      <c r="E8" s="4">
        <v>40</v>
      </c>
      <c r="F8" s="4" t="s">
        <v>58</v>
      </c>
      <c r="G8" s="4" t="s">
        <v>182</v>
      </c>
    </row>
    <row r="9" spans="2:7">
      <c r="B9" s="3">
        <v>7</v>
      </c>
      <c r="C9" s="4" t="s">
        <v>187</v>
      </c>
      <c r="D9" s="4" t="s">
        <v>53</v>
      </c>
      <c r="E9" s="4">
        <v>10</v>
      </c>
      <c r="F9" s="4" t="s">
        <v>33</v>
      </c>
      <c r="G9" s="4" t="s">
        <v>182</v>
      </c>
    </row>
    <row r="10" spans="2:7">
      <c r="B10" s="3">
        <v>8</v>
      </c>
      <c r="C10" s="4" t="s">
        <v>188</v>
      </c>
      <c r="D10" s="4" t="s">
        <v>185</v>
      </c>
      <c r="E10" s="4">
        <v>13</v>
      </c>
      <c r="F10" s="4" t="s">
        <v>58</v>
      </c>
      <c r="G10" s="4" t="s">
        <v>181</v>
      </c>
    </row>
    <row r="11" spans="2:7">
      <c r="B11" s="4">
        <v>9</v>
      </c>
      <c r="C11" s="4" t="s">
        <v>189</v>
      </c>
      <c r="D11" s="4" t="s">
        <v>185</v>
      </c>
      <c r="E11" s="4">
        <v>2</v>
      </c>
      <c r="F11" s="4" t="s">
        <v>58</v>
      </c>
      <c r="G11" s="4" t="s">
        <v>181</v>
      </c>
    </row>
    <row r="12" spans="2:7">
      <c r="B12" s="3">
        <v>10</v>
      </c>
      <c r="C12" s="4" t="s">
        <v>190</v>
      </c>
      <c r="D12" s="4" t="s">
        <v>185</v>
      </c>
      <c r="E12" s="4">
        <v>13</v>
      </c>
      <c r="F12" s="4" t="s">
        <v>58</v>
      </c>
      <c r="G12" s="4" t="s">
        <v>181</v>
      </c>
    </row>
    <row r="13" spans="2:7">
      <c r="B13" s="3">
        <v>11</v>
      </c>
      <c r="C13" s="4" t="s">
        <v>191</v>
      </c>
      <c r="D13" s="4" t="s">
        <v>185</v>
      </c>
      <c r="E13" s="4">
        <v>13</v>
      </c>
      <c r="F13" s="4" t="s">
        <v>58</v>
      </c>
      <c r="G13" s="4" t="s">
        <v>181</v>
      </c>
    </row>
    <row r="14" spans="2:7">
      <c r="B14" s="4">
        <v>12</v>
      </c>
      <c r="C14" s="4" t="s">
        <v>192</v>
      </c>
      <c r="D14" s="4" t="s">
        <v>185</v>
      </c>
      <c r="E14" s="4">
        <v>13</v>
      </c>
      <c r="F14" s="4" t="s">
        <v>58</v>
      </c>
      <c r="G14" s="4" t="s">
        <v>181</v>
      </c>
    </row>
    <row r="15" spans="2:7">
      <c r="B15" s="3">
        <v>13</v>
      </c>
      <c r="C15" s="4" t="s">
        <v>193</v>
      </c>
      <c r="D15" s="4" t="s">
        <v>185</v>
      </c>
      <c r="E15" s="4">
        <v>2</v>
      </c>
      <c r="F15" s="4" t="s">
        <v>58</v>
      </c>
      <c r="G15" s="4" t="s">
        <v>181</v>
      </c>
    </row>
    <row r="16" spans="2:7">
      <c r="B16" s="3">
        <v>14</v>
      </c>
      <c r="C16" s="4" t="s">
        <v>194</v>
      </c>
      <c r="D16" s="4" t="s">
        <v>185</v>
      </c>
      <c r="E16" s="4">
        <v>13</v>
      </c>
      <c r="F16" s="4" t="s">
        <v>58</v>
      </c>
      <c r="G16" s="4" t="s">
        <v>181</v>
      </c>
    </row>
    <row r="17" spans="2:7">
      <c r="B17" s="4">
        <v>15</v>
      </c>
      <c r="C17" s="4" t="s">
        <v>195</v>
      </c>
      <c r="D17" s="4" t="s">
        <v>185</v>
      </c>
      <c r="E17" s="4">
        <v>13</v>
      </c>
      <c r="F17" s="4" t="s">
        <v>58</v>
      </c>
      <c r="G17" s="4" t="s">
        <v>181</v>
      </c>
    </row>
    <row r="18" spans="2:7">
      <c r="B18" s="3">
        <v>16</v>
      </c>
      <c r="C18" s="4" t="s">
        <v>196</v>
      </c>
      <c r="D18" s="4" t="s">
        <v>185</v>
      </c>
      <c r="E18" s="4">
        <v>11</v>
      </c>
      <c r="F18" s="4" t="s">
        <v>58</v>
      </c>
      <c r="G18" s="4" t="s">
        <v>181</v>
      </c>
    </row>
    <row r="19" spans="2:7">
      <c r="B19" s="3">
        <v>17</v>
      </c>
      <c r="C19" s="4" t="s">
        <v>197</v>
      </c>
      <c r="D19" s="4" t="s">
        <v>185</v>
      </c>
      <c r="E19" s="4">
        <v>11</v>
      </c>
      <c r="F19" s="4" t="s">
        <v>58</v>
      </c>
      <c r="G19" s="4" t="s">
        <v>181</v>
      </c>
    </row>
  </sheetData>
  <phoneticPr fontId="1"/>
  <pageMargins left="0.7" right="0.7" top="0.75" bottom="0.75" header="0.3" footer="0.3"/>
  <pageSetup paperSize="9" scale="71" orientation="landscape"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143"/>
  <sheetViews>
    <sheetView showGridLines="0" tabSelected="1" zoomScale="85" zoomScaleNormal="85" zoomScaleSheetLayoutView="100" workbookViewId="0">
      <pane xSplit="2" ySplit="3" topLeftCell="C72" activePane="bottomRight" state="frozen"/>
      <selection activeCell="H137" sqref="H137"/>
      <selection pane="topRight" activeCell="H137" sqref="H137"/>
      <selection pane="bottomLeft" activeCell="H137" sqref="H137"/>
      <selection pane="bottomRight" activeCell="E78" sqref="E78"/>
    </sheetView>
  </sheetViews>
  <sheetFormatPr defaultColWidth="9" defaultRowHeight="13.5"/>
  <cols>
    <col min="1" max="1" width="5.25" style="81" customWidth="1"/>
    <col min="2" max="2" width="5.25" style="15" customWidth="1"/>
    <col min="3" max="3" width="13.375" style="13" customWidth="1"/>
    <col min="4" max="4" width="40" style="14" customWidth="1"/>
    <col min="5" max="5" width="21.875" style="15" customWidth="1"/>
    <col min="6" max="6" width="21.875" style="114" customWidth="1"/>
    <col min="7" max="7" width="21.875" style="15" customWidth="1"/>
    <col min="8" max="8" width="45.375" style="16" customWidth="1"/>
    <col min="9" max="16384" width="9" style="15"/>
  </cols>
  <sheetData>
    <row r="1" spans="2:9" ht="24">
      <c r="B1" s="12" t="s">
        <v>198</v>
      </c>
    </row>
    <row r="2" spans="2:9" ht="36" customHeight="1">
      <c r="E2" s="17" t="s">
        <v>199</v>
      </c>
    </row>
    <row r="3" spans="2:9" ht="42.75" customHeight="1">
      <c r="B3" s="113" t="s">
        <v>200</v>
      </c>
      <c r="C3" s="19" t="s">
        <v>201</v>
      </c>
      <c r="D3" s="20" t="s">
        <v>177</v>
      </c>
      <c r="E3" s="21" t="s">
        <v>202</v>
      </c>
      <c r="F3" s="115" t="s">
        <v>203</v>
      </c>
      <c r="G3" s="22" t="s">
        <v>204</v>
      </c>
      <c r="H3" s="23" t="s">
        <v>205</v>
      </c>
    </row>
    <row r="4" spans="2:9" ht="30.75" customHeight="1">
      <c r="B4" s="113">
        <v>1</v>
      </c>
      <c r="C4" s="138" t="s">
        <v>206</v>
      </c>
      <c r="D4" s="138"/>
      <c r="E4" s="138"/>
      <c r="F4" s="138"/>
      <c r="G4" s="138"/>
      <c r="H4" s="138"/>
    </row>
    <row r="5" spans="2:9" ht="49.15" customHeight="1">
      <c r="B5" s="113">
        <f>B4+1</f>
        <v>2</v>
      </c>
      <c r="C5" s="24" t="s">
        <v>207</v>
      </c>
      <c r="D5" s="25" t="s">
        <v>208</v>
      </c>
      <c r="E5" s="26"/>
      <c r="F5" s="27"/>
      <c r="G5" s="28">
        <f>IF(SUM(E6:E11,G12,G13)&gt;=0,SUM(E6:E11,G12,G13),0)</f>
        <v>0</v>
      </c>
      <c r="H5" s="29" t="s">
        <v>209</v>
      </c>
    </row>
    <row r="6" spans="2:9" ht="30.75" customHeight="1">
      <c r="B6" s="113">
        <f t="shared" ref="B6:B69" si="0">B5+1</f>
        <v>3</v>
      </c>
      <c r="C6" s="24">
        <v>8</v>
      </c>
      <c r="D6" s="30" t="s">
        <v>210</v>
      </c>
      <c r="E6" s="109"/>
      <c r="F6" s="116"/>
      <c r="G6" s="32"/>
      <c r="H6" s="29"/>
    </row>
    <row r="7" spans="2:9" ht="30.75" customHeight="1">
      <c r="B7" s="113">
        <f t="shared" si="0"/>
        <v>4</v>
      </c>
      <c r="C7" s="24">
        <v>14</v>
      </c>
      <c r="D7" s="30" t="s">
        <v>211</v>
      </c>
      <c r="E7" s="109"/>
      <c r="F7" s="116"/>
      <c r="G7" s="32"/>
      <c r="H7" s="33"/>
    </row>
    <row r="8" spans="2:9" ht="30.75" customHeight="1">
      <c r="B8" s="113">
        <f t="shared" si="0"/>
        <v>5</v>
      </c>
      <c r="C8" s="24">
        <v>19</v>
      </c>
      <c r="D8" s="30" t="s">
        <v>63</v>
      </c>
      <c r="E8" s="109"/>
      <c r="F8" s="116"/>
      <c r="G8" s="32"/>
      <c r="H8" s="33"/>
    </row>
    <row r="9" spans="2:9" ht="30.75" customHeight="1">
      <c r="B9" s="113">
        <f t="shared" si="0"/>
        <v>6</v>
      </c>
      <c r="C9" s="24">
        <v>24</v>
      </c>
      <c r="D9" s="30" t="s">
        <v>65</v>
      </c>
      <c r="E9" s="109"/>
      <c r="F9" s="116"/>
      <c r="G9" s="32"/>
      <c r="H9" s="33"/>
    </row>
    <row r="10" spans="2:9" ht="30.75" customHeight="1">
      <c r="B10" s="113">
        <f t="shared" si="0"/>
        <v>7</v>
      </c>
      <c r="C10" s="24">
        <v>25</v>
      </c>
      <c r="D10" s="30" t="s">
        <v>67</v>
      </c>
      <c r="E10" s="109"/>
      <c r="F10" s="116"/>
      <c r="G10" s="32"/>
      <c r="H10" s="33"/>
    </row>
    <row r="11" spans="2:9" ht="30.75" customHeight="1">
      <c r="B11" s="113">
        <f t="shared" si="0"/>
        <v>8</v>
      </c>
      <c r="C11" s="24">
        <v>26</v>
      </c>
      <c r="D11" s="30" t="s">
        <v>69</v>
      </c>
      <c r="E11" s="109"/>
      <c r="F11" s="116"/>
      <c r="G11" s="32"/>
      <c r="H11" s="33"/>
    </row>
    <row r="12" spans="2:9" ht="54.6" customHeight="1">
      <c r="B12" s="113">
        <f t="shared" si="0"/>
        <v>9</v>
      </c>
      <c r="C12" s="24">
        <v>27</v>
      </c>
      <c r="D12" s="30" t="s">
        <v>71</v>
      </c>
      <c r="E12" s="109"/>
      <c r="F12" s="116" t="s">
        <v>212</v>
      </c>
      <c r="G12" s="28">
        <f>ROUNDDOWN(E12/2,0)</f>
        <v>0</v>
      </c>
      <c r="H12" s="8" t="s">
        <v>213</v>
      </c>
      <c r="I12" s="35"/>
    </row>
    <row r="13" spans="2:9" ht="30.75" customHeight="1">
      <c r="B13" s="113">
        <f t="shared" si="0"/>
        <v>10</v>
      </c>
      <c r="C13" s="24">
        <v>33</v>
      </c>
      <c r="D13" s="30" t="s">
        <v>73</v>
      </c>
      <c r="E13" s="109"/>
      <c r="F13" s="116" t="s">
        <v>212</v>
      </c>
      <c r="G13" s="28">
        <f>ROUNDDOWN(E13/2,0)</f>
        <v>0</v>
      </c>
      <c r="H13" s="8" t="s">
        <v>214</v>
      </c>
      <c r="I13" s="35"/>
    </row>
    <row r="14" spans="2:9" ht="30.75" customHeight="1">
      <c r="B14" s="113">
        <f t="shared" si="0"/>
        <v>11</v>
      </c>
      <c r="C14" s="18">
        <v>55</v>
      </c>
      <c r="D14" s="34" t="s">
        <v>215</v>
      </c>
      <c r="E14" s="109"/>
      <c r="F14" s="116" t="s">
        <v>216</v>
      </c>
      <c r="G14" s="28">
        <f>IF(E14&gt;=0,E14,0)</f>
        <v>0</v>
      </c>
      <c r="H14" s="8" t="s">
        <v>217</v>
      </c>
    </row>
    <row r="15" spans="2:9" ht="40.9" customHeight="1">
      <c r="B15" s="113">
        <f t="shared" si="0"/>
        <v>12</v>
      </c>
      <c r="C15" s="18" t="s">
        <v>207</v>
      </c>
      <c r="D15" s="34" t="s">
        <v>218</v>
      </c>
      <c r="E15" s="32">
        <f>SUM(E16,E17)</f>
        <v>0</v>
      </c>
      <c r="F15" s="116" t="s">
        <v>216</v>
      </c>
      <c r="G15" s="28">
        <f>IF(E15&gt;=0,E15,0)</f>
        <v>0</v>
      </c>
      <c r="H15" s="8" t="s">
        <v>219</v>
      </c>
      <c r="I15" s="35"/>
    </row>
    <row r="16" spans="2:9" ht="30.75" customHeight="1">
      <c r="B16" s="113">
        <f t="shared" si="0"/>
        <v>13</v>
      </c>
      <c r="C16" s="18">
        <v>47</v>
      </c>
      <c r="D16" s="30" t="s">
        <v>77</v>
      </c>
      <c r="E16" s="109"/>
      <c r="F16" s="116"/>
      <c r="G16" s="32"/>
      <c r="H16" s="8"/>
    </row>
    <row r="17" spans="2:9" ht="30.75" customHeight="1">
      <c r="B17" s="113">
        <f t="shared" si="0"/>
        <v>14</v>
      </c>
      <c r="C17" s="18">
        <v>49</v>
      </c>
      <c r="D17" s="30" t="s">
        <v>220</v>
      </c>
      <c r="E17" s="109"/>
      <c r="F17" s="116"/>
      <c r="G17" s="32"/>
      <c r="H17" s="8"/>
    </row>
    <row r="18" spans="2:9" ht="55.9" customHeight="1">
      <c r="B18" s="113">
        <f t="shared" si="0"/>
        <v>15</v>
      </c>
      <c r="C18" s="18" t="s">
        <v>207</v>
      </c>
      <c r="D18" s="34" t="s">
        <v>221</v>
      </c>
      <c r="E18" s="32">
        <f>SUM(E19,E20,E21)</f>
        <v>0</v>
      </c>
      <c r="F18" s="116" t="s">
        <v>216</v>
      </c>
      <c r="G18" s="28">
        <f>IF(E18&gt;=0,E18,0)</f>
        <v>0</v>
      </c>
      <c r="H18" s="8" t="s">
        <v>222</v>
      </c>
      <c r="I18" s="35"/>
    </row>
    <row r="19" spans="2:9" ht="30.75" customHeight="1">
      <c r="B19" s="113">
        <f t="shared" si="0"/>
        <v>16</v>
      </c>
      <c r="C19" s="18">
        <v>40</v>
      </c>
      <c r="D19" s="30" t="s">
        <v>81</v>
      </c>
      <c r="E19" s="109"/>
      <c r="F19" s="116"/>
      <c r="G19" s="32"/>
      <c r="H19" s="33"/>
    </row>
    <row r="20" spans="2:9" ht="30.75" customHeight="1">
      <c r="B20" s="113">
        <f t="shared" si="0"/>
        <v>17</v>
      </c>
      <c r="C20" s="18">
        <v>42</v>
      </c>
      <c r="D20" s="30" t="s">
        <v>223</v>
      </c>
      <c r="E20" s="109"/>
      <c r="F20" s="116"/>
      <c r="G20" s="32"/>
      <c r="H20" s="33"/>
    </row>
    <row r="21" spans="2:9" ht="30.75" customHeight="1">
      <c r="B21" s="113">
        <f t="shared" si="0"/>
        <v>18</v>
      </c>
      <c r="C21" s="18">
        <v>43</v>
      </c>
      <c r="D21" s="30" t="s">
        <v>224</v>
      </c>
      <c r="E21" s="109"/>
      <c r="F21" s="116"/>
      <c r="G21" s="32"/>
      <c r="H21" s="33"/>
    </row>
    <row r="22" spans="2:9" ht="30.75" customHeight="1">
      <c r="B22" s="113">
        <f t="shared" si="0"/>
        <v>19</v>
      </c>
      <c r="C22" s="18">
        <v>53</v>
      </c>
      <c r="D22" s="34" t="s">
        <v>87</v>
      </c>
      <c r="E22" s="109"/>
      <c r="F22" s="116" t="s">
        <v>216</v>
      </c>
      <c r="G22" s="28">
        <f>IF(E22&gt;=0,E22,0)</f>
        <v>0</v>
      </c>
      <c r="H22" s="40" t="s">
        <v>225</v>
      </c>
    </row>
    <row r="23" spans="2:9" ht="43.15" customHeight="1">
      <c r="B23" s="113">
        <f t="shared" si="0"/>
        <v>20</v>
      </c>
      <c r="C23" s="18">
        <v>54</v>
      </c>
      <c r="D23" s="34" t="s">
        <v>89</v>
      </c>
      <c r="E23" s="109"/>
      <c r="F23" s="116" t="s">
        <v>216</v>
      </c>
      <c r="G23" s="98">
        <f>IF(E23&gt;=0,E23,0)</f>
        <v>0</v>
      </c>
      <c r="H23" s="8" t="s">
        <v>529</v>
      </c>
    </row>
    <row r="24" spans="2:9" ht="30.75" customHeight="1">
      <c r="B24" s="113">
        <f t="shared" si="0"/>
        <v>21</v>
      </c>
      <c r="C24" s="18">
        <v>56</v>
      </c>
      <c r="D24" s="34" t="s">
        <v>91</v>
      </c>
      <c r="E24" s="109"/>
      <c r="F24" s="116" t="s">
        <v>216</v>
      </c>
      <c r="G24" s="28">
        <f>IF(E24&gt;=0,E24,0)</f>
        <v>0</v>
      </c>
      <c r="H24" s="99" t="s">
        <v>225</v>
      </c>
    </row>
    <row r="25" spans="2:9" ht="30.75" customHeight="1">
      <c r="B25" s="113">
        <f t="shared" si="0"/>
        <v>22</v>
      </c>
      <c r="C25" s="18">
        <v>34</v>
      </c>
      <c r="D25" s="34" t="s">
        <v>226</v>
      </c>
      <c r="E25" s="109"/>
      <c r="F25" s="116" t="s">
        <v>216</v>
      </c>
      <c r="G25" s="28">
        <f>E25</f>
        <v>0</v>
      </c>
      <c r="H25" s="33" t="s">
        <v>227</v>
      </c>
    </row>
    <row r="26" spans="2:9" ht="30.75" customHeight="1">
      <c r="B26" s="113">
        <f t="shared" si="0"/>
        <v>23</v>
      </c>
      <c r="C26" s="18">
        <v>35</v>
      </c>
      <c r="D26" s="34" t="s">
        <v>228</v>
      </c>
      <c r="E26" s="109"/>
      <c r="F26" s="116" t="s">
        <v>216</v>
      </c>
      <c r="G26" s="28">
        <f>E26</f>
        <v>0</v>
      </c>
      <c r="H26" s="33" t="s">
        <v>229</v>
      </c>
    </row>
    <row r="27" spans="2:9" ht="30.75" customHeight="1">
      <c r="B27" s="113">
        <f t="shared" si="0"/>
        <v>24</v>
      </c>
      <c r="C27" s="18" t="s">
        <v>207</v>
      </c>
      <c r="D27" s="34" t="s">
        <v>230</v>
      </c>
      <c r="E27" s="32"/>
      <c r="F27" s="116"/>
      <c r="G27" s="28" t="str">
        <f>IF(AND(E6="",E7="",E8="",E9="",E10="",E11="",E12="",E13="",E14="",E16="",E17="",E19="",E20="",E21="",E22="",E23="",E24="",E25="",E26=""),"",MAX(SUM(G5,G14:G15,G18,G22:G26),0))</f>
        <v/>
      </c>
      <c r="H27" s="29" t="s">
        <v>231</v>
      </c>
      <c r="I27" s="35"/>
    </row>
    <row r="28" spans="2:9" ht="30.75" customHeight="1">
      <c r="B28" s="113">
        <f t="shared" si="0"/>
        <v>25</v>
      </c>
      <c r="C28" s="18">
        <v>63</v>
      </c>
      <c r="D28" s="36" t="s">
        <v>232</v>
      </c>
      <c r="E28" s="109"/>
      <c r="F28" s="116" t="s">
        <v>216</v>
      </c>
      <c r="G28" s="28">
        <f t="shared" ref="G28:G34" si="1">E28</f>
        <v>0</v>
      </c>
      <c r="H28" s="33"/>
    </row>
    <row r="29" spans="2:9" ht="30.75" customHeight="1">
      <c r="B29" s="113">
        <f t="shared" si="0"/>
        <v>26</v>
      </c>
      <c r="C29" s="18">
        <v>69</v>
      </c>
      <c r="D29" s="36" t="s">
        <v>233</v>
      </c>
      <c r="E29" s="109"/>
      <c r="F29" s="116" t="s">
        <v>216</v>
      </c>
      <c r="G29" s="28">
        <f t="shared" si="1"/>
        <v>0</v>
      </c>
      <c r="H29" s="33"/>
    </row>
    <row r="30" spans="2:9" ht="30.75" customHeight="1">
      <c r="B30" s="113">
        <f t="shared" si="0"/>
        <v>27</v>
      </c>
      <c r="C30" s="18">
        <v>64</v>
      </c>
      <c r="D30" s="36" t="s">
        <v>234</v>
      </c>
      <c r="E30" s="109"/>
      <c r="F30" s="116" t="s">
        <v>216</v>
      </c>
      <c r="G30" s="28">
        <f t="shared" si="1"/>
        <v>0</v>
      </c>
      <c r="H30" s="33"/>
    </row>
    <row r="31" spans="2:9" ht="30.75" customHeight="1">
      <c r="B31" s="113">
        <f t="shared" si="0"/>
        <v>28</v>
      </c>
      <c r="C31" s="18">
        <v>65</v>
      </c>
      <c r="D31" s="36" t="s">
        <v>235</v>
      </c>
      <c r="E31" s="109"/>
      <c r="F31" s="116" t="s">
        <v>216</v>
      </c>
      <c r="G31" s="28">
        <f t="shared" si="1"/>
        <v>0</v>
      </c>
      <c r="H31" s="33"/>
    </row>
    <row r="32" spans="2:9" ht="30.75" customHeight="1">
      <c r="B32" s="113">
        <f t="shared" si="0"/>
        <v>29</v>
      </c>
      <c r="C32" s="18">
        <v>66</v>
      </c>
      <c r="D32" s="36" t="s">
        <v>236</v>
      </c>
      <c r="E32" s="109"/>
      <c r="F32" s="116" t="s">
        <v>216</v>
      </c>
      <c r="G32" s="28">
        <f t="shared" si="1"/>
        <v>0</v>
      </c>
      <c r="H32" s="33"/>
    </row>
    <row r="33" spans="2:9" ht="30.75" customHeight="1">
      <c r="B33" s="113">
        <f t="shared" si="0"/>
        <v>30</v>
      </c>
      <c r="C33" s="18">
        <v>67</v>
      </c>
      <c r="D33" s="36" t="s">
        <v>237</v>
      </c>
      <c r="E33" s="109"/>
      <c r="F33" s="116" t="s">
        <v>216</v>
      </c>
      <c r="G33" s="28">
        <f t="shared" si="1"/>
        <v>0</v>
      </c>
      <c r="H33" s="33"/>
    </row>
    <row r="34" spans="2:9" ht="30.75" customHeight="1">
      <c r="B34" s="113">
        <f t="shared" si="0"/>
        <v>31</v>
      </c>
      <c r="C34" s="37">
        <v>68</v>
      </c>
      <c r="D34" s="38" t="s">
        <v>238</v>
      </c>
      <c r="E34" s="110"/>
      <c r="F34" s="117" t="s">
        <v>216</v>
      </c>
      <c r="G34" s="39">
        <f t="shared" si="1"/>
        <v>0</v>
      </c>
      <c r="H34" s="40"/>
    </row>
    <row r="35" spans="2:9" ht="42.6" customHeight="1">
      <c r="B35" s="113">
        <f t="shared" si="0"/>
        <v>32</v>
      </c>
      <c r="C35" s="18" t="s">
        <v>207</v>
      </c>
      <c r="D35" s="41" t="s">
        <v>239</v>
      </c>
      <c r="E35" s="42"/>
      <c r="F35" s="116"/>
      <c r="G35" s="28">
        <f>IF(G22&gt;=G33,(G22-G33),0)</f>
        <v>0</v>
      </c>
      <c r="H35" s="29" t="s">
        <v>240</v>
      </c>
    </row>
    <row r="36" spans="2:9" ht="30.75" customHeight="1">
      <c r="B36" s="113">
        <f t="shared" si="0"/>
        <v>33</v>
      </c>
      <c r="C36" s="43" t="s">
        <v>207</v>
      </c>
      <c r="D36" s="44" t="s">
        <v>241</v>
      </c>
      <c r="E36" s="45"/>
      <c r="F36" s="118"/>
      <c r="G36" s="45">
        <f>IF(G35&gt;=1,0,G33-G22)</f>
        <v>0</v>
      </c>
      <c r="H36" s="46"/>
      <c r="I36" s="35"/>
    </row>
    <row r="37" spans="2:9" ht="76.150000000000006" customHeight="1">
      <c r="B37" s="113">
        <f t="shared" si="0"/>
        <v>34</v>
      </c>
      <c r="C37" s="18" t="s">
        <v>207</v>
      </c>
      <c r="D37" s="41" t="s">
        <v>242</v>
      </c>
      <c r="E37" s="42"/>
      <c r="F37" s="116"/>
      <c r="G37" s="28">
        <f>IF(G23&gt;=SUM(G32,G36),G23-SUM(G32,G36),0)</f>
        <v>0</v>
      </c>
      <c r="H37" s="29" t="s">
        <v>243</v>
      </c>
    </row>
    <row r="38" spans="2:9" ht="30.75" customHeight="1">
      <c r="B38" s="113">
        <f t="shared" si="0"/>
        <v>35</v>
      </c>
      <c r="C38" s="43" t="s">
        <v>207</v>
      </c>
      <c r="D38" s="44" t="s">
        <v>241</v>
      </c>
      <c r="E38" s="45"/>
      <c r="F38" s="118"/>
      <c r="G38" s="45">
        <f>IF(G37&gt;=1,0,SUM(G32,G36)-G23)</f>
        <v>0</v>
      </c>
      <c r="H38" s="47"/>
      <c r="I38" s="35"/>
    </row>
    <row r="39" spans="2:9" ht="34.15" customHeight="1">
      <c r="B39" s="113">
        <f t="shared" si="0"/>
        <v>36</v>
      </c>
      <c r="C39" s="18" t="s">
        <v>207</v>
      </c>
      <c r="D39" s="41" t="s">
        <v>244</v>
      </c>
      <c r="E39" s="42"/>
      <c r="F39" s="116"/>
      <c r="G39" s="28">
        <f>IF(G14&gt;=G38,G14-G38,0)</f>
        <v>0</v>
      </c>
      <c r="H39" s="29" t="s">
        <v>245</v>
      </c>
    </row>
    <row r="40" spans="2:9" ht="34.5" customHeight="1">
      <c r="B40" s="113">
        <f t="shared" si="0"/>
        <v>37</v>
      </c>
      <c r="C40" s="18" t="s">
        <v>207</v>
      </c>
      <c r="D40" s="41" t="s">
        <v>246</v>
      </c>
      <c r="E40" s="42"/>
      <c r="F40" s="116"/>
      <c r="G40" s="28">
        <f>IF(G24&gt;=G34,G24-G34,0)</f>
        <v>0</v>
      </c>
      <c r="H40" s="29" t="s">
        <v>247</v>
      </c>
    </row>
    <row r="41" spans="2:9" ht="42.6" customHeight="1">
      <c r="B41" s="113">
        <f t="shared" si="0"/>
        <v>38</v>
      </c>
      <c r="C41" s="48" t="s">
        <v>207</v>
      </c>
      <c r="D41" s="49" t="s">
        <v>248</v>
      </c>
      <c r="E41" s="50"/>
      <c r="F41" s="119"/>
      <c r="G41" s="51">
        <f>IF(G18&gt;=SUM(G30:G31),G18-SUM(G30:G31),0)</f>
        <v>0</v>
      </c>
      <c r="H41" s="52" t="s">
        <v>249</v>
      </c>
    </row>
    <row r="42" spans="2:9" ht="30.75" customHeight="1">
      <c r="B42" s="113">
        <f t="shared" si="0"/>
        <v>39</v>
      </c>
      <c r="C42" s="43" t="s">
        <v>207</v>
      </c>
      <c r="D42" s="44" t="s">
        <v>241</v>
      </c>
      <c r="E42" s="45"/>
      <c r="F42" s="118"/>
      <c r="G42" s="45">
        <f>IF(G41&gt;=1,0,SUM(G30:G31)-G18)</f>
        <v>0</v>
      </c>
      <c r="H42" s="47"/>
    </row>
    <row r="43" spans="2:9" ht="30.75" customHeight="1">
      <c r="B43" s="113">
        <f t="shared" si="0"/>
        <v>40</v>
      </c>
      <c r="C43" s="18">
        <v>41</v>
      </c>
      <c r="D43" s="30" t="s">
        <v>250</v>
      </c>
      <c r="E43" s="109"/>
      <c r="F43" s="116" t="s">
        <v>216</v>
      </c>
      <c r="G43" s="28">
        <f>E43</f>
        <v>0</v>
      </c>
      <c r="H43" s="53"/>
    </row>
    <row r="44" spans="2:9" ht="30.75" customHeight="1">
      <c r="B44" s="113">
        <f t="shared" si="0"/>
        <v>41</v>
      </c>
      <c r="C44" s="18">
        <v>44</v>
      </c>
      <c r="D44" s="30" t="s">
        <v>113</v>
      </c>
      <c r="E44" s="109"/>
      <c r="F44" s="116" t="s">
        <v>216</v>
      </c>
      <c r="G44" s="28">
        <f>E44</f>
        <v>0</v>
      </c>
      <c r="H44" s="53"/>
    </row>
    <row r="45" spans="2:9" ht="43.15" customHeight="1">
      <c r="B45" s="113">
        <f t="shared" si="0"/>
        <v>42</v>
      </c>
      <c r="C45" s="18" t="s">
        <v>207</v>
      </c>
      <c r="D45" s="49" t="s">
        <v>251</v>
      </c>
      <c r="E45" s="32"/>
      <c r="F45" s="116"/>
      <c r="G45" s="28">
        <f>IF(G41-SUM(G43:G44)&gt;=0,G41-SUM(G43:G44),0)</f>
        <v>0</v>
      </c>
      <c r="H45" s="33" t="s">
        <v>252</v>
      </c>
    </row>
    <row r="46" spans="2:9" ht="43.15" customHeight="1">
      <c r="B46" s="113">
        <f t="shared" si="0"/>
        <v>43</v>
      </c>
      <c r="C46" s="18" t="s">
        <v>207</v>
      </c>
      <c r="D46" s="41" t="s">
        <v>253</v>
      </c>
      <c r="E46" s="42"/>
      <c r="F46" s="116"/>
      <c r="G46" s="28">
        <f>IF(G15&gt;=G42,G15-G42,0)</f>
        <v>0</v>
      </c>
      <c r="H46" s="29" t="s">
        <v>254</v>
      </c>
    </row>
    <row r="47" spans="2:9" ht="30.75" customHeight="1">
      <c r="B47" s="113">
        <f t="shared" si="0"/>
        <v>44</v>
      </c>
      <c r="C47" s="43" t="s">
        <v>207</v>
      </c>
      <c r="D47" s="44" t="s">
        <v>241</v>
      </c>
      <c r="E47" s="45"/>
      <c r="F47" s="118"/>
      <c r="G47" s="45">
        <f>IF(G46&gt;=1,0,G42-G15)</f>
        <v>0</v>
      </c>
      <c r="H47" s="47"/>
    </row>
    <row r="48" spans="2:9" ht="30.75" customHeight="1">
      <c r="B48" s="113">
        <f t="shared" si="0"/>
        <v>45</v>
      </c>
      <c r="C48" s="18">
        <v>48</v>
      </c>
      <c r="D48" s="30" t="s">
        <v>115</v>
      </c>
      <c r="E48" s="31"/>
      <c r="F48" s="116" t="s">
        <v>216</v>
      </c>
      <c r="G48" s="28">
        <f>E48</f>
        <v>0</v>
      </c>
      <c r="H48" s="53"/>
    </row>
    <row r="49" spans="2:9" ht="30.75" customHeight="1">
      <c r="B49" s="113">
        <f t="shared" si="0"/>
        <v>46</v>
      </c>
      <c r="C49" s="18">
        <v>50</v>
      </c>
      <c r="D49" s="30" t="s">
        <v>117</v>
      </c>
      <c r="E49" s="31"/>
      <c r="F49" s="116" t="s">
        <v>216</v>
      </c>
      <c r="G49" s="28">
        <f>E49</f>
        <v>0</v>
      </c>
      <c r="H49" s="53"/>
    </row>
    <row r="50" spans="2:9" ht="46.15" customHeight="1">
      <c r="B50" s="113">
        <f t="shared" si="0"/>
        <v>47</v>
      </c>
      <c r="C50" s="18" t="s">
        <v>207</v>
      </c>
      <c r="D50" s="49" t="s">
        <v>255</v>
      </c>
      <c r="E50" s="32"/>
      <c r="F50" s="116"/>
      <c r="G50" s="28">
        <f>IF(G46-SUM(G48:G49)&gt;=0,G46-SUM(G48:G49),0)</f>
        <v>0</v>
      </c>
      <c r="H50" s="33" t="s">
        <v>256</v>
      </c>
    </row>
    <row r="51" spans="2:9" ht="47.25" customHeight="1">
      <c r="B51" s="113">
        <f t="shared" si="0"/>
        <v>48</v>
      </c>
      <c r="C51" s="18" t="s">
        <v>207</v>
      </c>
      <c r="D51" s="41" t="s">
        <v>257</v>
      </c>
      <c r="E51" s="42"/>
      <c r="F51" s="116"/>
      <c r="G51" s="28">
        <f>IF(G5&gt;=SUM(G28:G29,G47),G5-SUM(G28:G29,G47),0)</f>
        <v>0</v>
      </c>
      <c r="H51" s="29" t="s">
        <v>258</v>
      </c>
      <c r="I51" s="35"/>
    </row>
    <row r="52" spans="2:9" ht="30.75" customHeight="1">
      <c r="B52" s="113">
        <f t="shared" si="0"/>
        <v>49</v>
      </c>
      <c r="C52" s="43" t="s">
        <v>207</v>
      </c>
      <c r="D52" s="44" t="s">
        <v>241</v>
      </c>
      <c r="E52" s="45"/>
      <c r="F52" s="118"/>
      <c r="G52" s="45">
        <f>IF(G51&gt;=1,0,SUM(G28:G29,G47)-G5)</f>
        <v>0</v>
      </c>
      <c r="H52" s="47"/>
    </row>
    <row r="53" spans="2:9" ht="42.6" customHeight="1">
      <c r="B53" s="113">
        <f t="shared" si="0"/>
        <v>50</v>
      </c>
      <c r="C53" s="18" t="s">
        <v>207</v>
      </c>
      <c r="D53" s="41" t="s">
        <v>259</v>
      </c>
      <c r="E53" s="42"/>
      <c r="F53" s="116"/>
      <c r="G53" s="28">
        <f>IF(G25&gt;=G52,G25-G52,0)</f>
        <v>0</v>
      </c>
      <c r="H53" s="29" t="s">
        <v>260</v>
      </c>
    </row>
    <row r="54" spans="2:9" ht="30.75" customHeight="1">
      <c r="B54" s="113">
        <f t="shared" si="0"/>
        <v>51</v>
      </c>
      <c r="C54" s="43" t="s">
        <v>207</v>
      </c>
      <c r="D54" s="54" t="s">
        <v>241</v>
      </c>
      <c r="E54" s="45"/>
      <c r="F54" s="118"/>
      <c r="G54" s="45">
        <f>IF(G53&gt;=1,0,(G52-G25))</f>
        <v>0</v>
      </c>
      <c r="H54" s="47"/>
      <c r="I54" s="35"/>
    </row>
    <row r="55" spans="2:9" ht="42.6" customHeight="1">
      <c r="B55" s="113">
        <f t="shared" si="0"/>
        <v>52</v>
      </c>
      <c r="C55" s="18" t="s">
        <v>207</v>
      </c>
      <c r="D55" s="41" t="s">
        <v>261</v>
      </c>
      <c r="E55" s="42"/>
      <c r="F55" s="116"/>
      <c r="G55" s="28">
        <f>IF(G26&gt;=G54,G26-G54,0)</f>
        <v>0</v>
      </c>
      <c r="H55" s="29" t="s">
        <v>262</v>
      </c>
    </row>
    <row r="56" spans="2:9" ht="30.75" customHeight="1">
      <c r="B56" s="113">
        <f t="shared" si="0"/>
        <v>53</v>
      </c>
      <c r="C56" s="43" t="s">
        <v>207</v>
      </c>
      <c r="D56" s="44" t="s">
        <v>241</v>
      </c>
      <c r="E56" s="45"/>
      <c r="F56" s="118"/>
      <c r="G56" s="45">
        <f>IF(G55&gt;=1,0,(G54-G26))</f>
        <v>0</v>
      </c>
      <c r="H56" s="47"/>
      <c r="I56" s="35"/>
    </row>
    <row r="57" spans="2:9" ht="30" customHeight="1">
      <c r="B57" s="113">
        <f t="shared" si="0"/>
        <v>54</v>
      </c>
      <c r="C57" s="139" t="s">
        <v>263</v>
      </c>
      <c r="D57" s="139"/>
      <c r="E57" s="139"/>
      <c r="F57" s="139"/>
      <c r="G57" s="139"/>
      <c r="H57" s="139"/>
    </row>
    <row r="58" spans="2:9" ht="30.75" customHeight="1">
      <c r="B58" s="113">
        <f t="shared" si="0"/>
        <v>55</v>
      </c>
      <c r="C58" s="18">
        <v>70</v>
      </c>
      <c r="D58" s="34" t="s">
        <v>264</v>
      </c>
      <c r="E58" s="109"/>
      <c r="F58" s="116" t="s">
        <v>216</v>
      </c>
      <c r="G58" s="28">
        <f>E58</f>
        <v>0</v>
      </c>
      <c r="H58" s="53" t="s">
        <v>265</v>
      </c>
    </row>
    <row r="59" spans="2:9" ht="30.75" customHeight="1">
      <c r="B59" s="113">
        <f t="shared" si="0"/>
        <v>56</v>
      </c>
      <c r="C59" s="18">
        <v>71</v>
      </c>
      <c r="D59" s="34" t="s">
        <v>266</v>
      </c>
      <c r="E59" s="109"/>
      <c r="F59" s="116" t="s">
        <v>216</v>
      </c>
      <c r="G59" s="28">
        <f t="shared" ref="G59:G61" si="2">E59</f>
        <v>0</v>
      </c>
      <c r="H59" s="55" t="s">
        <v>265</v>
      </c>
    </row>
    <row r="60" spans="2:9" ht="30.75" customHeight="1">
      <c r="B60" s="113">
        <f t="shared" si="0"/>
        <v>57</v>
      </c>
      <c r="C60" s="18">
        <v>72</v>
      </c>
      <c r="D60" s="34" t="s">
        <v>267</v>
      </c>
      <c r="E60" s="109"/>
      <c r="F60" s="116" t="s">
        <v>216</v>
      </c>
      <c r="G60" s="28">
        <f t="shared" si="2"/>
        <v>0</v>
      </c>
      <c r="H60" s="55" t="s">
        <v>265</v>
      </c>
    </row>
    <row r="61" spans="2:9" ht="30.75" customHeight="1">
      <c r="B61" s="113">
        <f t="shared" si="0"/>
        <v>58</v>
      </c>
      <c r="C61" s="18">
        <v>73</v>
      </c>
      <c r="D61" s="34" t="s">
        <v>268</v>
      </c>
      <c r="E61" s="109"/>
      <c r="F61" s="116" t="s">
        <v>216</v>
      </c>
      <c r="G61" s="28">
        <f t="shared" si="2"/>
        <v>0</v>
      </c>
      <c r="H61" s="55" t="s">
        <v>265</v>
      </c>
    </row>
    <row r="62" spans="2:9" ht="94.5">
      <c r="B62" s="113">
        <f t="shared" si="0"/>
        <v>59</v>
      </c>
      <c r="C62" s="18">
        <v>74</v>
      </c>
      <c r="D62" s="34" t="s">
        <v>269</v>
      </c>
      <c r="E62" s="109"/>
      <c r="F62" s="116" t="s">
        <v>270</v>
      </c>
      <c r="G62" s="28">
        <f>E62*4/2.8</f>
        <v>0</v>
      </c>
      <c r="H62" s="29" t="s">
        <v>271</v>
      </c>
      <c r="I62" s="35"/>
    </row>
    <row r="63" spans="2:9" ht="40.5">
      <c r="B63" s="113">
        <f t="shared" si="0"/>
        <v>60</v>
      </c>
      <c r="C63" s="18">
        <v>75</v>
      </c>
      <c r="D63" s="34" t="s">
        <v>272</v>
      </c>
      <c r="E63" s="109"/>
      <c r="F63" s="116" t="s">
        <v>273</v>
      </c>
      <c r="G63" s="28">
        <f>E63*2</f>
        <v>0</v>
      </c>
      <c r="H63" s="29" t="s">
        <v>274</v>
      </c>
    </row>
    <row r="64" spans="2:9" ht="41.45" customHeight="1">
      <c r="B64" s="113">
        <f t="shared" si="0"/>
        <v>61</v>
      </c>
      <c r="C64" s="18">
        <v>76</v>
      </c>
      <c r="D64" s="34" t="s">
        <v>275</v>
      </c>
      <c r="E64" s="109"/>
      <c r="F64" s="116"/>
      <c r="G64" s="32"/>
      <c r="H64" s="140" t="s">
        <v>276</v>
      </c>
    </row>
    <row r="65" spans="2:8" ht="41.45" customHeight="1">
      <c r="B65" s="113">
        <f t="shared" si="0"/>
        <v>62</v>
      </c>
      <c r="C65" s="18" t="s">
        <v>207</v>
      </c>
      <c r="D65" s="30" t="s">
        <v>277</v>
      </c>
      <c r="E65" s="32"/>
      <c r="F65" s="116"/>
      <c r="G65" s="28">
        <f>IF(G27&lt;=9000000,IF(E64=330000,380000,E64),0)</f>
        <v>0</v>
      </c>
      <c r="H65" s="140"/>
    </row>
    <row r="66" spans="2:8" ht="41.45" customHeight="1">
      <c r="B66" s="113">
        <f t="shared" si="0"/>
        <v>63</v>
      </c>
      <c r="C66" s="18" t="s">
        <v>207</v>
      </c>
      <c r="D66" s="56" t="s">
        <v>278</v>
      </c>
      <c r="E66" s="32"/>
      <c r="F66" s="116"/>
      <c r="G66" s="28">
        <f>IF(AND(9000000&lt;G27,G27&lt;=9500000),IF(E64=220000,260000,E64),0)</f>
        <v>0</v>
      </c>
      <c r="H66" s="140"/>
    </row>
    <row r="67" spans="2:8" ht="41.45" customHeight="1">
      <c r="B67" s="113">
        <f t="shared" si="0"/>
        <v>64</v>
      </c>
      <c r="C67" s="18" t="s">
        <v>207</v>
      </c>
      <c r="D67" s="56" t="s">
        <v>279</v>
      </c>
      <c r="E67" s="32"/>
      <c r="F67" s="116"/>
      <c r="G67" s="28">
        <f>IF(AND(9500000&lt;G27,G27&lt;=10000000),IF(E64=110000,130000,E64),0)</f>
        <v>0</v>
      </c>
      <c r="H67" s="140"/>
    </row>
    <row r="68" spans="2:8" ht="30.75" customHeight="1">
      <c r="B68" s="113">
        <f t="shared" si="0"/>
        <v>65</v>
      </c>
      <c r="C68" s="18">
        <v>77</v>
      </c>
      <c r="D68" s="34" t="s">
        <v>280</v>
      </c>
      <c r="E68" s="109"/>
      <c r="F68" s="116"/>
      <c r="G68" s="32"/>
      <c r="H68" s="29"/>
    </row>
    <row r="69" spans="2:8" ht="30.75" customHeight="1">
      <c r="B69" s="113">
        <f t="shared" si="0"/>
        <v>66</v>
      </c>
      <c r="C69" s="18" t="s">
        <v>207</v>
      </c>
      <c r="D69" s="30" t="s">
        <v>281</v>
      </c>
      <c r="E69" s="32"/>
      <c r="F69" s="120" t="s">
        <v>282</v>
      </c>
      <c r="G69" s="28">
        <f>IF(E68=1,IF(G27&lt;=9000000,380000,IF(G27&lt;=9500000,260000,IF(G27&lt;=10000000,130000,0))),0)</f>
        <v>0</v>
      </c>
      <c r="H69" s="29" t="s">
        <v>283</v>
      </c>
    </row>
    <row r="70" spans="2:8" ht="30.75" customHeight="1">
      <c r="B70" s="113">
        <f t="shared" ref="B70:B120" si="3">B69+1</f>
        <v>67</v>
      </c>
      <c r="C70" s="18" t="s">
        <v>207</v>
      </c>
      <c r="D70" s="30" t="s">
        <v>284</v>
      </c>
      <c r="E70" s="32"/>
      <c r="F70" s="120" t="s">
        <v>285</v>
      </c>
      <c r="G70" s="28">
        <f>IF(E68=2,IF(G27&lt;=9000000,480000,IF(G27&lt;=9500000,320000,IF(G27&lt;=10000000,160000,0))),0)</f>
        <v>0</v>
      </c>
      <c r="H70" s="29" t="s">
        <v>286</v>
      </c>
    </row>
    <row r="71" spans="2:8" ht="30.75" customHeight="1">
      <c r="B71" s="113">
        <f t="shared" si="3"/>
        <v>68</v>
      </c>
      <c r="C71" s="18" t="s">
        <v>207</v>
      </c>
      <c r="D71" s="56" t="s">
        <v>287</v>
      </c>
      <c r="E71" s="32"/>
      <c r="F71" s="121" t="s">
        <v>288</v>
      </c>
      <c r="G71" s="28">
        <f>IF(E68=3,0,0)</f>
        <v>0</v>
      </c>
      <c r="H71" s="29" t="s">
        <v>289</v>
      </c>
    </row>
    <row r="72" spans="2:8" ht="30.75" customHeight="1">
      <c r="B72" s="113">
        <f t="shared" si="3"/>
        <v>69</v>
      </c>
      <c r="C72" s="18">
        <v>80</v>
      </c>
      <c r="D72" s="34" t="s">
        <v>290</v>
      </c>
      <c r="E72" s="109"/>
      <c r="F72" s="116" t="s">
        <v>291</v>
      </c>
      <c r="G72" s="28">
        <f>E72*380000</f>
        <v>0</v>
      </c>
      <c r="H72" s="55" t="s">
        <v>292</v>
      </c>
    </row>
    <row r="73" spans="2:8" ht="30.75" customHeight="1">
      <c r="B73" s="113">
        <f t="shared" si="3"/>
        <v>70</v>
      </c>
      <c r="C73" s="18">
        <v>81</v>
      </c>
      <c r="D73" s="34" t="s">
        <v>293</v>
      </c>
      <c r="E73" s="109"/>
      <c r="F73" s="116" t="s">
        <v>294</v>
      </c>
      <c r="G73" s="28">
        <f>E73*630000</f>
        <v>0</v>
      </c>
      <c r="H73" s="55" t="s">
        <v>292</v>
      </c>
    </row>
    <row r="74" spans="2:8" ht="30.75" customHeight="1">
      <c r="B74" s="113">
        <f t="shared" si="3"/>
        <v>71</v>
      </c>
      <c r="C74" s="18">
        <v>82</v>
      </c>
      <c r="D74" s="34" t="s">
        <v>295</v>
      </c>
      <c r="E74" s="109"/>
      <c r="F74" s="116" t="s">
        <v>296</v>
      </c>
      <c r="G74" s="28">
        <f>E74*480000</f>
        <v>0</v>
      </c>
      <c r="H74" s="55" t="s">
        <v>292</v>
      </c>
    </row>
    <row r="75" spans="2:8" ht="30.75" customHeight="1">
      <c r="B75" s="113">
        <f t="shared" si="3"/>
        <v>72</v>
      </c>
      <c r="C75" s="18">
        <v>83</v>
      </c>
      <c r="D75" s="34" t="s">
        <v>297</v>
      </c>
      <c r="E75" s="109"/>
      <c r="F75" s="116" t="s">
        <v>298</v>
      </c>
      <c r="G75" s="28">
        <f>E75*100000</f>
        <v>0</v>
      </c>
      <c r="H75" s="29" t="s">
        <v>299</v>
      </c>
    </row>
    <row r="76" spans="2:8" ht="30.75" customHeight="1">
      <c r="B76" s="113">
        <f t="shared" si="3"/>
        <v>73</v>
      </c>
      <c r="C76" s="18">
        <v>87</v>
      </c>
      <c r="D76" s="34" t="s">
        <v>300</v>
      </c>
      <c r="E76" s="109"/>
      <c r="F76" s="116" t="s">
        <v>301</v>
      </c>
      <c r="G76" s="28">
        <f>E76*270000</f>
        <v>0</v>
      </c>
      <c r="H76" s="55" t="s">
        <v>292</v>
      </c>
    </row>
    <row r="77" spans="2:8" ht="30.75" customHeight="1">
      <c r="B77" s="113">
        <f t="shared" si="3"/>
        <v>74</v>
      </c>
      <c r="C77" s="18">
        <v>88</v>
      </c>
      <c r="D77" s="34" t="s">
        <v>302</v>
      </c>
      <c r="E77" s="109"/>
      <c r="F77" s="116" t="s">
        <v>303</v>
      </c>
      <c r="G77" s="28">
        <f>E77*400000</f>
        <v>0</v>
      </c>
      <c r="H77" s="55" t="s">
        <v>292</v>
      </c>
    </row>
    <row r="78" spans="2:8" ht="30.75" customHeight="1">
      <c r="B78" s="113">
        <f t="shared" si="3"/>
        <v>75</v>
      </c>
      <c r="C78" s="18">
        <v>89</v>
      </c>
      <c r="D78" s="34" t="s">
        <v>304</v>
      </c>
      <c r="E78" s="109"/>
      <c r="F78" s="116" t="s">
        <v>305</v>
      </c>
      <c r="G78" s="28">
        <f>E78*350000</f>
        <v>0</v>
      </c>
      <c r="H78" s="29" t="s">
        <v>306</v>
      </c>
    </row>
    <row r="79" spans="2:8" ht="30.75" customHeight="1">
      <c r="B79" s="113">
        <f t="shared" si="3"/>
        <v>76</v>
      </c>
      <c r="C79" s="18">
        <v>92</v>
      </c>
      <c r="D79" s="36" t="s">
        <v>307</v>
      </c>
      <c r="E79" s="109"/>
      <c r="F79" s="116"/>
      <c r="G79" s="32"/>
      <c r="H79" s="29"/>
    </row>
    <row r="80" spans="2:8" ht="30.75" customHeight="1">
      <c r="B80" s="113">
        <f t="shared" si="3"/>
        <v>77</v>
      </c>
      <c r="C80" s="18" t="s">
        <v>207</v>
      </c>
      <c r="D80" s="30" t="s">
        <v>308</v>
      </c>
      <c r="E80" s="42"/>
      <c r="F80" s="121" t="s">
        <v>309</v>
      </c>
      <c r="G80" s="28">
        <f>IF(E79=1,400000,0)</f>
        <v>0</v>
      </c>
      <c r="H80" s="29" t="s">
        <v>310</v>
      </c>
    </row>
    <row r="81" spans="2:9" ht="30.75" customHeight="1">
      <c r="B81" s="113">
        <f t="shared" si="3"/>
        <v>78</v>
      </c>
      <c r="C81" s="18" t="s">
        <v>207</v>
      </c>
      <c r="D81" s="30" t="s">
        <v>311</v>
      </c>
      <c r="E81" s="42"/>
      <c r="F81" s="121" t="s">
        <v>309</v>
      </c>
      <c r="G81" s="28">
        <f>IF(E79=2,400000,0)</f>
        <v>0</v>
      </c>
      <c r="H81" s="29" t="s">
        <v>310</v>
      </c>
    </row>
    <row r="82" spans="2:9" ht="30.75" customHeight="1">
      <c r="B82" s="113">
        <f t="shared" si="3"/>
        <v>79</v>
      </c>
      <c r="C82" s="18" t="s">
        <v>207</v>
      </c>
      <c r="D82" s="30" t="s">
        <v>312</v>
      </c>
      <c r="E82" s="42"/>
      <c r="F82" s="121" t="s">
        <v>313</v>
      </c>
      <c r="G82" s="28">
        <f>IF(E79=3,270000,0)</f>
        <v>0</v>
      </c>
      <c r="H82" s="29" t="s">
        <v>310</v>
      </c>
    </row>
    <row r="83" spans="2:9" ht="30.75" customHeight="1">
      <c r="B83" s="113">
        <f t="shared" si="3"/>
        <v>80</v>
      </c>
      <c r="C83" s="18">
        <v>93</v>
      </c>
      <c r="D83" s="36" t="s">
        <v>314</v>
      </c>
      <c r="E83" s="109"/>
      <c r="F83" s="116"/>
      <c r="G83" s="32"/>
      <c r="H83" s="29"/>
    </row>
    <row r="84" spans="2:9" ht="30.75" customHeight="1">
      <c r="B84" s="113">
        <f t="shared" si="3"/>
        <v>81</v>
      </c>
      <c r="C84" s="18" t="s">
        <v>207</v>
      </c>
      <c r="D84" s="30" t="s">
        <v>315</v>
      </c>
      <c r="E84" s="32"/>
      <c r="F84" s="121" t="s">
        <v>313</v>
      </c>
      <c r="G84" s="28">
        <f>IF(E83=1,270000,0)</f>
        <v>0</v>
      </c>
      <c r="H84" s="29" t="s">
        <v>316</v>
      </c>
    </row>
    <row r="85" spans="2:9" ht="30.75" customHeight="1">
      <c r="B85" s="113">
        <f t="shared" si="3"/>
        <v>82</v>
      </c>
      <c r="C85" s="18" t="s">
        <v>207</v>
      </c>
      <c r="D85" s="30" t="s">
        <v>317</v>
      </c>
      <c r="E85" s="32"/>
      <c r="F85" s="121" t="s">
        <v>318</v>
      </c>
      <c r="G85" s="28">
        <f>IF(E83=2,350000,0)</f>
        <v>0</v>
      </c>
      <c r="H85" s="29" t="s">
        <v>316</v>
      </c>
    </row>
    <row r="86" spans="2:9" ht="30.75" customHeight="1">
      <c r="B86" s="113">
        <f t="shared" si="3"/>
        <v>83</v>
      </c>
      <c r="C86" s="18">
        <v>94</v>
      </c>
      <c r="D86" s="34" t="s">
        <v>319</v>
      </c>
      <c r="E86" s="109"/>
      <c r="F86" s="122"/>
      <c r="G86" s="42"/>
      <c r="H86" s="55"/>
    </row>
    <row r="87" spans="2:9" ht="30.75" customHeight="1">
      <c r="B87" s="113">
        <f t="shared" si="3"/>
        <v>84</v>
      </c>
      <c r="C87" s="18" t="s">
        <v>207</v>
      </c>
      <c r="D87" s="30" t="s">
        <v>320</v>
      </c>
      <c r="E87" s="32"/>
      <c r="F87" s="121" t="s">
        <v>313</v>
      </c>
      <c r="G87" s="39">
        <f>IF(E86=1,270000,0)</f>
        <v>0</v>
      </c>
      <c r="H87" s="102" t="s">
        <v>321</v>
      </c>
    </row>
    <row r="88" spans="2:9" ht="30.75" customHeight="1">
      <c r="B88" s="113">
        <f t="shared" si="3"/>
        <v>85</v>
      </c>
      <c r="C88" s="18" t="s">
        <v>207</v>
      </c>
      <c r="D88" s="34" t="s">
        <v>322</v>
      </c>
      <c r="E88" s="32"/>
      <c r="F88" s="123"/>
      <c r="G88" s="28">
        <f>IF(G27&gt;0,IF(G27&gt;25000000,0,IF(G27&gt;24500000,160000,IF(G27&gt;24000000,320000,480000))),0)</f>
        <v>0</v>
      </c>
      <c r="H88" s="108" t="s">
        <v>323</v>
      </c>
    </row>
    <row r="89" spans="2:9" ht="30.75" customHeight="1">
      <c r="B89" s="113">
        <f t="shared" si="3"/>
        <v>86</v>
      </c>
      <c r="C89" s="18" t="s">
        <v>207</v>
      </c>
      <c r="D89" s="34" t="s">
        <v>324</v>
      </c>
      <c r="E89" s="32"/>
      <c r="F89" s="121"/>
      <c r="G89" s="103">
        <f>SUM(G58:G63,G65:G67,G69:G78,G80:G82,G84:G85,G87:G88)</f>
        <v>0</v>
      </c>
      <c r="H89" s="99"/>
    </row>
    <row r="90" spans="2:9" ht="30.75" customHeight="1">
      <c r="B90" s="113">
        <f t="shared" si="3"/>
        <v>87</v>
      </c>
      <c r="C90" s="138" t="s">
        <v>325</v>
      </c>
      <c r="D90" s="138"/>
      <c r="E90" s="138"/>
      <c r="F90" s="138"/>
      <c r="G90" s="138"/>
      <c r="H90" s="138"/>
    </row>
    <row r="91" spans="2:9" ht="42.6" customHeight="1">
      <c r="B91" s="113">
        <f t="shared" si="3"/>
        <v>88</v>
      </c>
      <c r="C91" s="18" t="s">
        <v>207</v>
      </c>
      <c r="D91" s="34" t="s">
        <v>326</v>
      </c>
      <c r="E91" s="42"/>
      <c r="F91" s="116" t="s">
        <v>327</v>
      </c>
      <c r="G91" s="28">
        <f>ROUNDDOWN(IF(G51&gt;=G89,G51-G89,0),-3)</f>
        <v>0</v>
      </c>
      <c r="H91" s="33" t="s">
        <v>328</v>
      </c>
      <c r="I91" s="35"/>
    </row>
    <row r="92" spans="2:9" ht="32.25" customHeight="1">
      <c r="B92" s="113">
        <f t="shared" si="3"/>
        <v>89</v>
      </c>
      <c r="C92" s="43" t="s">
        <v>207</v>
      </c>
      <c r="D92" s="44" t="s">
        <v>241</v>
      </c>
      <c r="E92" s="45"/>
      <c r="F92" s="124"/>
      <c r="G92" s="45">
        <f>MAX(IF(G91&gt;=1,0,G89-G51),0)</f>
        <v>0</v>
      </c>
      <c r="H92" s="46"/>
      <c r="I92" s="35"/>
    </row>
    <row r="93" spans="2:9" ht="42.6" customHeight="1">
      <c r="B93" s="113">
        <f t="shared" si="3"/>
        <v>90</v>
      </c>
      <c r="C93" s="18" t="s">
        <v>207</v>
      </c>
      <c r="D93" s="34" t="s">
        <v>329</v>
      </c>
      <c r="E93" s="42"/>
      <c r="F93" s="116" t="s">
        <v>327</v>
      </c>
      <c r="G93" s="28">
        <f>ROUNDDOWN(IF(G50&gt;=G92,G50-G92,0),-3)</f>
        <v>0</v>
      </c>
      <c r="H93" s="29" t="s">
        <v>330</v>
      </c>
      <c r="I93" s="35"/>
    </row>
    <row r="94" spans="2:9" ht="29.25" customHeight="1">
      <c r="B94" s="113">
        <f t="shared" si="3"/>
        <v>91</v>
      </c>
      <c r="C94" s="43" t="s">
        <v>207</v>
      </c>
      <c r="D94" s="58" t="s">
        <v>331</v>
      </c>
      <c r="E94" s="45"/>
      <c r="F94" s="124"/>
      <c r="G94" s="45">
        <f>MAX(IF(G93&gt;=1,0,G92-G50),0)</f>
        <v>0</v>
      </c>
      <c r="H94" s="46"/>
      <c r="I94" s="35"/>
    </row>
    <row r="95" spans="2:9" ht="42.6" customHeight="1">
      <c r="B95" s="113">
        <f t="shared" si="3"/>
        <v>92</v>
      </c>
      <c r="C95" s="18" t="s">
        <v>207</v>
      </c>
      <c r="D95" s="34" t="s">
        <v>332</v>
      </c>
      <c r="E95" s="42"/>
      <c r="F95" s="116" t="s">
        <v>327</v>
      </c>
      <c r="G95" s="28">
        <f>ROUNDDOWN(IF(G45&gt;=G94,G45-G94,0),-3)</f>
        <v>0</v>
      </c>
      <c r="H95" s="29" t="s">
        <v>333</v>
      </c>
      <c r="I95" s="35"/>
    </row>
    <row r="96" spans="2:9" ht="29.25" customHeight="1">
      <c r="B96" s="113">
        <f t="shared" si="3"/>
        <v>93</v>
      </c>
      <c r="C96" s="43" t="s">
        <v>207</v>
      </c>
      <c r="D96" s="58" t="s">
        <v>331</v>
      </c>
      <c r="E96" s="45"/>
      <c r="F96" s="124"/>
      <c r="G96" s="45">
        <f>MAX(IF(G95&gt;=1,0,G94-G45),0)</f>
        <v>0</v>
      </c>
      <c r="H96" s="46"/>
      <c r="I96" s="35"/>
    </row>
    <row r="97" spans="2:9" ht="42.6" customHeight="1">
      <c r="B97" s="113">
        <f t="shared" si="3"/>
        <v>94</v>
      </c>
      <c r="C97" s="18" t="s">
        <v>207</v>
      </c>
      <c r="D97" s="59" t="s">
        <v>334</v>
      </c>
      <c r="E97" s="42"/>
      <c r="F97" s="116" t="s">
        <v>327</v>
      </c>
      <c r="G97" s="28">
        <f>ROUNDDOWN(IF(G39&gt;=G96,G39-G96,0),-3)</f>
        <v>0</v>
      </c>
      <c r="H97" s="29" t="s">
        <v>335</v>
      </c>
      <c r="I97" s="35"/>
    </row>
    <row r="98" spans="2:9" ht="28.5" customHeight="1">
      <c r="B98" s="113">
        <f t="shared" si="3"/>
        <v>95</v>
      </c>
      <c r="C98" s="43" t="s">
        <v>207</v>
      </c>
      <c r="D98" s="58" t="s">
        <v>331</v>
      </c>
      <c r="E98" s="45"/>
      <c r="F98" s="124"/>
      <c r="G98" s="45">
        <f>MAX(IF(G97&gt;=1,0,G96-G39),0)</f>
        <v>0</v>
      </c>
      <c r="H98" s="46"/>
      <c r="I98" s="35"/>
    </row>
    <row r="99" spans="2:9" ht="42.6" customHeight="1">
      <c r="B99" s="113">
        <f t="shared" si="3"/>
        <v>96</v>
      </c>
      <c r="C99" s="18" t="s">
        <v>207</v>
      </c>
      <c r="D99" s="34" t="s">
        <v>336</v>
      </c>
      <c r="E99" s="42"/>
      <c r="F99" s="116" t="s">
        <v>327</v>
      </c>
      <c r="G99" s="28">
        <f>ROUNDDOWN(IF(G35&gt;=G98,G35-G98,0),-3)</f>
        <v>0</v>
      </c>
      <c r="H99" s="29" t="s">
        <v>337</v>
      </c>
      <c r="I99" s="35"/>
    </row>
    <row r="100" spans="2:9" ht="29.25" customHeight="1">
      <c r="B100" s="113">
        <f t="shared" si="3"/>
        <v>97</v>
      </c>
      <c r="C100" s="43" t="s">
        <v>207</v>
      </c>
      <c r="D100" s="58" t="s">
        <v>331</v>
      </c>
      <c r="E100" s="45"/>
      <c r="F100" s="124"/>
      <c r="G100" s="45">
        <f>MAX(IF(G99&gt;=1,0,G98-G35),0)</f>
        <v>0</v>
      </c>
      <c r="H100" s="46"/>
      <c r="I100" s="35"/>
    </row>
    <row r="101" spans="2:9" ht="42.6" customHeight="1">
      <c r="B101" s="113">
        <f t="shared" si="3"/>
        <v>98</v>
      </c>
      <c r="C101" s="18" t="s">
        <v>207</v>
      </c>
      <c r="D101" s="34" t="s">
        <v>338</v>
      </c>
      <c r="E101" s="42"/>
      <c r="F101" s="116" t="s">
        <v>327</v>
      </c>
      <c r="G101" s="28">
        <f>ROUNDDOWN(IF(G37&gt;=G100,G37-G100,0),-3)</f>
        <v>0</v>
      </c>
      <c r="H101" s="29" t="s">
        <v>339</v>
      </c>
      <c r="I101" s="35"/>
    </row>
    <row r="102" spans="2:9" ht="29.25" customHeight="1">
      <c r="B102" s="113">
        <f t="shared" si="3"/>
        <v>99</v>
      </c>
      <c r="C102" s="43" t="s">
        <v>207</v>
      </c>
      <c r="D102" s="60"/>
      <c r="E102" s="45"/>
      <c r="F102" s="124"/>
      <c r="G102" s="45">
        <f>MAX(IF(G101&gt;=1,0,G100-G37),0)</f>
        <v>0</v>
      </c>
      <c r="H102" s="46"/>
      <c r="I102" s="35"/>
    </row>
    <row r="103" spans="2:9" ht="42.6" customHeight="1">
      <c r="B103" s="113">
        <f t="shared" si="3"/>
        <v>100</v>
      </c>
      <c r="C103" s="18" t="s">
        <v>207</v>
      </c>
      <c r="D103" s="34" t="s">
        <v>340</v>
      </c>
      <c r="E103" s="42"/>
      <c r="F103" s="116" t="s">
        <v>327</v>
      </c>
      <c r="G103" s="28">
        <f>ROUNDDOWN(IF(G40&gt;=G102,G40-G102,0),-3)</f>
        <v>0</v>
      </c>
      <c r="H103" s="29" t="s">
        <v>341</v>
      </c>
      <c r="I103" s="35"/>
    </row>
    <row r="104" spans="2:9" ht="29.25" customHeight="1">
      <c r="B104" s="113">
        <f t="shared" si="3"/>
        <v>101</v>
      </c>
      <c r="C104" s="43" t="s">
        <v>207</v>
      </c>
      <c r="D104" s="60"/>
      <c r="E104" s="45"/>
      <c r="F104" s="124"/>
      <c r="G104" s="45">
        <f>MAX(IF(G103&gt;=1,0,G102-G40),0)</f>
        <v>0</v>
      </c>
      <c r="H104" s="46"/>
      <c r="I104" s="35"/>
    </row>
    <row r="105" spans="2:9" ht="42.6" customHeight="1">
      <c r="B105" s="113">
        <f t="shared" si="3"/>
        <v>102</v>
      </c>
      <c r="C105" s="18" t="s">
        <v>207</v>
      </c>
      <c r="D105" s="34" t="s">
        <v>342</v>
      </c>
      <c r="E105" s="42"/>
      <c r="F105" s="116" t="s">
        <v>327</v>
      </c>
      <c r="G105" s="28">
        <f>ROUNDDOWN(IF(G53&gt;=G104,G53-G104,0),-3)</f>
        <v>0</v>
      </c>
      <c r="H105" s="29" t="s">
        <v>343</v>
      </c>
      <c r="I105" s="35"/>
    </row>
    <row r="106" spans="2:9" ht="29.25" customHeight="1">
      <c r="B106" s="113">
        <f t="shared" si="3"/>
        <v>103</v>
      </c>
      <c r="C106" s="43" t="s">
        <v>207</v>
      </c>
      <c r="D106" s="60"/>
      <c r="E106" s="45"/>
      <c r="F106" s="124"/>
      <c r="G106" s="45">
        <f>MAX(IF(G105&gt;=1,0,G104-G53),0)</f>
        <v>0</v>
      </c>
      <c r="H106" s="46"/>
      <c r="I106" s="35"/>
    </row>
    <row r="107" spans="2:9" ht="42.6" customHeight="1">
      <c r="B107" s="113">
        <f t="shared" si="3"/>
        <v>104</v>
      </c>
      <c r="C107" s="18" t="s">
        <v>207</v>
      </c>
      <c r="D107" s="34" t="s">
        <v>344</v>
      </c>
      <c r="E107" s="42"/>
      <c r="F107" s="116" t="s">
        <v>327</v>
      </c>
      <c r="G107" s="28">
        <f>ROUNDDOWN(IF(G55&gt;=G106,G55-G106,0),-3)</f>
        <v>0</v>
      </c>
      <c r="H107" s="29" t="s">
        <v>345</v>
      </c>
      <c r="I107" s="35"/>
    </row>
    <row r="108" spans="2:9" ht="30.75" customHeight="1">
      <c r="B108" s="113">
        <f t="shared" si="3"/>
        <v>105</v>
      </c>
      <c r="C108" s="18" t="s">
        <v>346</v>
      </c>
      <c r="D108" s="36" t="s">
        <v>347</v>
      </c>
      <c r="E108" s="32"/>
      <c r="F108" s="116"/>
      <c r="G108" s="57">
        <f>SUM(G91,G107)</f>
        <v>0</v>
      </c>
      <c r="H108" s="29" t="s">
        <v>348</v>
      </c>
    </row>
    <row r="109" spans="2:9" ht="30.75" customHeight="1" thickBot="1">
      <c r="B109" s="113">
        <f t="shared" si="3"/>
        <v>106</v>
      </c>
      <c r="C109" s="18" t="s">
        <v>207</v>
      </c>
      <c r="D109" s="36" t="s">
        <v>349</v>
      </c>
      <c r="E109" s="32"/>
      <c r="F109" s="116"/>
      <c r="G109" s="101">
        <f>G105/5</f>
        <v>0</v>
      </c>
      <c r="H109" s="102" t="s">
        <v>350</v>
      </c>
    </row>
    <row r="110" spans="2:9" ht="87" customHeight="1">
      <c r="B110" s="113">
        <f t="shared" si="3"/>
        <v>107</v>
      </c>
      <c r="C110" s="18" t="s">
        <v>207</v>
      </c>
      <c r="D110" s="36" t="s">
        <v>351</v>
      </c>
      <c r="E110" s="32"/>
      <c r="F110" s="125"/>
      <c r="G110" s="105">
        <f>MAX(ROUNDDOWN(IF((E20+E21-G44)&lt;G95,(E20+E21-G44),G95),-3),0)</f>
        <v>0</v>
      </c>
      <c r="H110" s="104" t="s">
        <v>352</v>
      </c>
      <c r="I110" s="35"/>
    </row>
    <row r="111" spans="2:9" ht="46.9" customHeight="1">
      <c r="B111" s="113">
        <f t="shared" si="3"/>
        <v>108</v>
      </c>
      <c r="C111" s="18" t="s">
        <v>207</v>
      </c>
      <c r="D111" s="36" t="s">
        <v>353</v>
      </c>
      <c r="E111" s="32"/>
      <c r="F111" s="125"/>
      <c r="G111" s="106">
        <f>MAX(SUM(ROUNDDOWN(IF((E17-G49)&lt;G93,(E17-G49),G93),-3),G95-G110,G97,G99,G101,G103),0)</f>
        <v>0</v>
      </c>
      <c r="H111" s="104" t="s">
        <v>354</v>
      </c>
      <c r="I111" s="35"/>
    </row>
    <row r="112" spans="2:9" ht="30.75" customHeight="1" thickBot="1">
      <c r="B112" s="113">
        <f t="shared" si="3"/>
        <v>109</v>
      </c>
      <c r="C112" s="18" t="s">
        <v>207</v>
      </c>
      <c r="D112" s="36" t="s">
        <v>355</v>
      </c>
      <c r="E112" s="32"/>
      <c r="F112" s="125"/>
      <c r="G112" s="107">
        <f>ROUNDDOWN(G93-MAX(IF((E17-G49)&lt;G93,(E17-G49),G93),0),-3)</f>
        <v>0</v>
      </c>
      <c r="H112" s="104" t="s">
        <v>356</v>
      </c>
    </row>
    <row r="113" spans="2:9" ht="29.25" customHeight="1">
      <c r="B113" s="113">
        <f t="shared" si="3"/>
        <v>110</v>
      </c>
      <c r="C113" s="138" t="s">
        <v>357</v>
      </c>
      <c r="D113" s="138"/>
      <c r="E113" s="138"/>
      <c r="F113" s="138"/>
      <c r="G113" s="141"/>
      <c r="H113" s="141"/>
    </row>
    <row r="114" spans="2:9" ht="30.75" customHeight="1">
      <c r="B114" s="113">
        <f t="shared" si="3"/>
        <v>111</v>
      </c>
      <c r="C114" s="18" t="s">
        <v>207</v>
      </c>
      <c r="D114" s="36" t="s">
        <v>358</v>
      </c>
      <c r="E114" s="32"/>
      <c r="F114" s="126"/>
      <c r="G114" s="28">
        <f>1*(IF(G108&lt;1950000,G108*5%,IF(G108&lt;3300000,G108*0.1-97500,IF(G108&lt;6950000,G108*0.2-427500,IF(G108&lt;9000000,G108*0.23-636000,IF(G108&lt;18000000,G108*0.33-1536000,IF(G108&lt;40000000,G108*0.4-2796000,G108*0.45-4796000)))))))</f>
        <v>0</v>
      </c>
      <c r="H114" s="29"/>
    </row>
    <row r="115" spans="2:9" ht="27">
      <c r="B115" s="113">
        <f t="shared" si="3"/>
        <v>112</v>
      </c>
      <c r="C115" s="18" t="s">
        <v>207</v>
      </c>
      <c r="D115" s="36" t="s">
        <v>359</v>
      </c>
      <c r="E115" s="32"/>
      <c r="F115" s="126"/>
      <c r="G115" s="28">
        <f>1*(IF(G109&lt;1950000,G109*5%,IF(G109&lt;3300000,G109*0.1-97500,IF(G109&lt;6950000,G109*0.2-427500,IF(G109&lt;9000000,G109*0.23-636000,IF(G109&lt;18000000,G109*0.33-1536000,IF(G109&lt;40000000,G109*0.4-2796000,G109*0.45-4796000)))))))*5</f>
        <v>0</v>
      </c>
      <c r="H115" s="29"/>
    </row>
    <row r="116" spans="2:9" ht="35.25" customHeight="1">
      <c r="B116" s="113">
        <f t="shared" si="3"/>
        <v>113</v>
      </c>
      <c r="C116" s="18" t="s">
        <v>207</v>
      </c>
      <c r="D116" s="36" t="s">
        <v>360</v>
      </c>
      <c r="E116" s="32"/>
      <c r="F116" s="126"/>
      <c r="G116" s="28">
        <f>1*G110*0.1</f>
        <v>0</v>
      </c>
      <c r="H116" s="29"/>
    </row>
    <row r="117" spans="2:9" ht="30.75" customHeight="1">
      <c r="B117" s="113">
        <f t="shared" si="3"/>
        <v>114</v>
      </c>
      <c r="C117" s="18" t="s">
        <v>207</v>
      </c>
      <c r="D117" s="36" t="s">
        <v>361</v>
      </c>
      <c r="E117" s="32"/>
      <c r="F117" s="126"/>
      <c r="G117" s="28">
        <f>1*G111*0.15</f>
        <v>0</v>
      </c>
      <c r="H117" s="29"/>
    </row>
    <row r="118" spans="2:9" ht="30.75" customHeight="1">
      <c r="B118" s="113">
        <f t="shared" si="3"/>
        <v>115</v>
      </c>
      <c r="C118" s="18" t="s">
        <v>207</v>
      </c>
      <c r="D118" s="36" t="s">
        <v>362</v>
      </c>
      <c r="E118" s="32"/>
      <c r="F118" s="126"/>
      <c r="G118" s="28">
        <f>1*G112*0.3</f>
        <v>0</v>
      </c>
      <c r="H118" s="29"/>
    </row>
    <row r="119" spans="2:9" ht="30.75" customHeight="1">
      <c r="B119" s="113">
        <f t="shared" si="3"/>
        <v>116</v>
      </c>
      <c r="C119" s="18">
        <v>26</v>
      </c>
      <c r="D119" s="36" t="s">
        <v>363</v>
      </c>
      <c r="E119" s="26">
        <f>E11</f>
        <v>0</v>
      </c>
      <c r="F119" s="116" t="s">
        <v>364</v>
      </c>
      <c r="G119" s="28">
        <f>ROUNDUP(E119*0.1,0)</f>
        <v>0</v>
      </c>
      <c r="H119" s="29" t="s">
        <v>365</v>
      </c>
    </row>
    <row r="120" spans="2:9" ht="35.25" customHeight="1">
      <c r="B120" s="113">
        <f t="shared" si="3"/>
        <v>117</v>
      </c>
      <c r="C120" s="18">
        <v>103</v>
      </c>
      <c r="D120" s="36" t="s">
        <v>366</v>
      </c>
      <c r="E120" s="109"/>
      <c r="F120" s="122"/>
      <c r="G120" s="61"/>
      <c r="H120" s="29"/>
    </row>
    <row r="121" spans="2:9" ht="60" customHeight="1">
      <c r="B121" s="113">
        <f>B120+1</f>
        <v>118</v>
      </c>
      <c r="C121" s="18" t="s">
        <v>207</v>
      </c>
      <c r="D121" s="36" t="s">
        <v>367</v>
      </c>
      <c r="E121" s="32"/>
      <c r="F121" s="127"/>
      <c r="G121" s="57">
        <f>IF(SUM(G114:G118)-G119&gt;=0,IF(E120&gt;=1,0,SUM(G114:G118)-G119),0)</f>
        <v>0</v>
      </c>
      <c r="H121" s="62" t="s">
        <v>368</v>
      </c>
      <c r="I121" s="35"/>
    </row>
    <row r="122" spans="2:9">
      <c r="H122" s="63"/>
    </row>
    <row r="123" spans="2:9">
      <c r="H123" s="63"/>
    </row>
    <row r="124" spans="2:9" ht="31.5" customHeight="1">
      <c r="C124" s="64" t="s">
        <v>369</v>
      </c>
      <c r="D124" s="64"/>
      <c r="E124" s="64"/>
      <c r="F124" s="128"/>
      <c r="G124" s="64"/>
      <c r="H124" s="65"/>
    </row>
    <row r="125" spans="2:9" ht="42.75" customHeight="1" thickBot="1">
      <c r="B125" s="66" t="s">
        <v>200</v>
      </c>
      <c r="C125" s="19" t="s">
        <v>201</v>
      </c>
      <c r="D125" s="20" t="s">
        <v>177</v>
      </c>
      <c r="E125" s="19" t="s">
        <v>370</v>
      </c>
      <c r="F125" s="115" t="s">
        <v>371</v>
      </c>
      <c r="G125" s="67" t="s">
        <v>372</v>
      </c>
      <c r="H125" s="23" t="s">
        <v>205</v>
      </c>
    </row>
    <row r="126" spans="2:9" ht="39.950000000000003" customHeight="1" thickTop="1" thickBot="1">
      <c r="B126" s="18">
        <v>201</v>
      </c>
      <c r="C126" s="18" t="s">
        <v>207</v>
      </c>
      <c r="D126" s="36" t="s">
        <v>530</v>
      </c>
      <c r="E126" s="111"/>
      <c r="F126" s="125" t="s">
        <v>216</v>
      </c>
      <c r="G126" s="68">
        <f>E126</f>
        <v>0</v>
      </c>
      <c r="H126" s="69"/>
    </row>
    <row r="127" spans="2:9" ht="39.950000000000003" hidden="1" customHeight="1" thickTop="1">
      <c r="B127" s="18">
        <v>202</v>
      </c>
      <c r="C127" s="18">
        <v>124</v>
      </c>
      <c r="D127" s="30" t="s">
        <v>160</v>
      </c>
      <c r="E127" s="111"/>
      <c r="F127" s="116"/>
      <c r="G127" s="70"/>
      <c r="H127" s="71"/>
    </row>
    <row r="128" spans="2:9" ht="39.950000000000003" hidden="1" customHeight="1" thickBot="1">
      <c r="B128" s="18">
        <v>203</v>
      </c>
      <c r="C128" s="18">
        <v>127</v>
      </c>
      <c r="D128" s="30" t="s">
        <v>162</v>
      </c>
      <c r="E128" s="111"/>
      <c r="F128" s="116"/>
      <c r="G128" s="72"/>
      <c r="H128" s="71"/>
    </row>
    <row r="129" spans="2:9" ht="39.950000000000003" customHeight="1" thickTop="1" thickBot="1">
      <c r="B129" s="18">
        <v>204</v>
      </c>
      <c r="C129" s="18" t="s">
        <v>207</v>
      </c>
      <c r="D129" s="36" t="s">
        <v>373</v>
      </c>
      <c r="E129" s="73">
        <f>SUM(IF(OR(E68=1,E68=2),1,0),E72:E74,E130)-E140</f>
        <v>0</v>
      </c>
      <c r="F129" s="125" t="s">
        <v>216</v>
      </c>
      <c r="G129" s="74">
        <f>E129</f>
        <v>0</v>
      </c>
      <c r="H129" s="62" t="s">
        <v>374</v>
      </c>
      <c r="I129" s="75"/>
    </row>
    <row r="130" spans="2:9" ht="39.950000000000003" customHeight="1" thickTop="1" thickBot="1">
      <c r="B130" s="18">
        <v>205</v>
      </c>
      <c r="C130" s="18">
        <v>84</v>
      </c>
      <c r="D130" s="30" t="s">
        <v>375</v>
      </c>
      <c r="E130" s="112"/>
      <c r="F130" s="116"/>
      <c r="G130" s="76"/>
      <c r="H130" s="33"/>
      <c r="I130" s="2"/>
    </row>
    <row r="131" spans="2:9" ht="39.950000000000003" customHeight="1" thickTop="1" thickBot="1">
      <c r="B131" s="18">
        <v>206</v>
      </c>
      <c r="C131" s="18" t="s">
        <v>207</v>
      </c>
      <c r="D131" s="34" t="s">
        <v>376</v>
      </c>
      <c r="E131" s="73">
        <f>E129+1</f>
        <v>1</v>
      </c>
      <c r="F131" s="125" t="s">
        <v>377</v>
      </c>
      <c r="G131" s="74">
        <f>E131*10000</f>
        <v>10000</v>
      </c>
      <c r="H131" s="62" t="s">
        <v>378</v>
      </c>
    </row>
    <row r="132" spans="2:9" ht="46.15" customHeight="1" thickTop="1" thickBot="1">
      <c r="B132" s="18">
        <v>207</v>
      </c>
      <c r="C132" s="18" t="s">
        <v>207</v>
      </c>
      <c r="D132" s="34" t="s">
        <v>379</v>
      </c>
      <c r="E132" s="26"/>
      <c r="F132" s="125"/>
      <c r="G132" s="77">
        <f>IF(E139&gt;18050000,0,IF(G131-G126&gt;0,G131-G126,0))</f>
        <v>10000</v>
      </c>
      <c r="H132" s="62" t="s">
        <v>380</v>
      </c>
    </row>
    <row r="133" spans="2:9" ht="39.950000000000003" customHeight="1" thickTop="1" thickBot="1">
      <c r="B133" s="18">
        <v>208</v>
      </c>
      <c r="C133" s="18" t="s">
        <v>207</v>
      </c>
      <c r="D133" s="34" t="s">
        <v>381</v>
      </c>
      <c r="E133" s="73">
        <f>IF(E141="",G121,E141)</f>
        <v>0</v>
      </c>
      <c r="F133" s="125" t="s">
        <v>216</v>
      </c>
      <c r="G133" s="74">
        <f>E133</f>
        <v>0</v>
      </c>
      <c r="H133" s="62" t="s">
        <v>382</v>
      </c>
    </row>
    <row r="134" spans="2:9" ht="60.6" customHeight="1" thickTop="1" thickBot="1">
      <c r="B134" s="18">
        <v>209</v>
      </c>
      <c r="C134" s="18" t="s">
        <v>207</v>
      </c>
      <c r="D134" s="36" t="s">
        <v>383</v>
      </c>
      <c r="E134" s="78">
        <f>IF(E142="",E129,E142-E140)</f>
        <v>0</v>
      </c>
      <c r="F134" s="125" t="s">
        <v>216</v>
      </c>
      <c r="G134" s="74">
        <f>E134</f>
        <v>0</v>
      </c>
      <c r="H134" s="62" t="s">
        <v>384</v>
      </c>
    </row>
    <row r="135" spans="2:9" ht="39.950000000000003" customHeight="1" thickTop="1" thickBot="1">
      <c r="B135" s="18">
        <v>210</v>
      </c>
      <c r="C135" s="18" t="s">
        <v>207</v>
      </c>
      <c r="D135" s="34" t="s">
        <v>385</v>
      </c>
      <c r="E135" s="73">
        <f>E134+1</f>
        <v>1</v>
      </c>
      <c r="F135" s="125" t="s">
        <v>386</v>
      </c>
      <c r="G135" s="74">
        <f>E135*30000</f>
        <v>30000</v>
      </c>
      <c r="H135" s="62" t="s">
        <v>387</v>
      </c>
    </row>
    <row r="136" spans="2:9" ht="73.150000000000006" customHeight="1" thickTop="1" thickBot="1">
      <c r="B136" s="18">
        <v>211</v>
      </c>
      <c r="C136" s="18" t="s">
        <v>207</v>
      </c>
      <c r="D136" s="34" t="s">
        <v>388</v>
      </c>
      <c r="E136" s="26"/>
      <c r="F136" s="125"/>
      <c r="G136" s="74">
        <f>IF(E143&lt;&gt;"",IF(E143&gt;18050000,0,IF(G135-G133&gt;0,G135-G133,0)),IF(G27&lt;&gt;"",IF(G27&gt;18050000,0,IF(G135-G133&gt;0,G135-G133,0)),IF(E139&gt;18050000,0,IF(G135-G133&gt;0,G135-G133,0))))</f>
        <v>30000</v>
      </c>
      <c r="H136" s="62" t="s">
        <v>389</v>
      </c>
    </row>
    <row r="137" spans="2:9" ht="39.950000000000003" customHeight="1" thickTop="1" thickBot="1">
      <c r="B137" s="18">
        <v>212</v>
      </c>
      <c r="C137" s="18" t="s">
        <v>207</v>
      </c>
      <c r="D137" s="34" t="s">
        <v>390</v>
      </c>
      <c r="E137" s="26"/>
      <c r="F137" s="125"/>
      <c r="G137" s="74">
        <f>IF(AND(G126=0,G133=0),0,G132+G136)</f>
        <v>0</v>
      </c>
      <c r="H137" s="62" t="s">
        <v>391</v>
      </c>
    </row>
    <row r="138" spans="2:9" ht="39.950000000000003" customHeight="1" thickTop="1" thickBot="1">
      <c r="B138" s="18">
        <v>213</v>
      </c>
      <c r="C138" s="18" t="s">
        <v>207</v>
      </c>
      <c r="D138" s="34" t="s">
        <v>392</v>
      </c>
      <c r="E138" s="26"/>
      <c r="F138" s="125" t="s">
        <v>393</v>
      </c>
      <c r="G138" s="74">
        <f>ROUNDUP(G137,-4)</f>
        <v>0</v>
      </c>
      <c r="H138" s="79" t="s">
        <v>394</v>
      </c>
    </row>
    <row r="139" spans="2:9" ht="39.950000000000003" customHeight="1" thickTop="1">
      <c r="B139" s="18">
        <v>214</v>
      </c>
      <c r="C139" s="18">
        <v>4</v>
      </c>
      <c r="D139" s="34" t="s">
        <v>395</v>
      </c>
      <c r="E139" s="112"/>
      <c r="F139" s="116"/>
      <c r="G139" s="80"/>
      <c r="H139" s="33" t="s">
        <v>396</v>
      </c>
    </row>
    <row r="140" spans="2:9" ht="52.9" customHeight="1">
      <c r="B140" s="18">
        <v>215</v>
      </c>
      <c r="C140" s="18" t="s">
        <v>397</v>
      </c>
      <c r="D140" s="36" t="s">
        <v>398</v>
      </c>
      <c r="E140" s="112"/>
      <c r="F140" s="116"/>
      <c r="G140" s="32"/>
      <c r="H140" s="33" t="s">
        <v>399</v>
      </c>
    </row>
    <row r="141" spans="2:9" ht="39.950000000000003" customHeight="1">
      <c r="B141" s="18">
        <v>216</v>
      </c>
      <c r="C141" s="18" t="s">
        <v>397</v>
      </c>
      <c r="D141" s="59" t="s">
        <v>400</v>
      </c>
      <c r="E141" s="112"/>
      <c r="F141" s="116"/>
      <c r="G141" s="32"/>
      <c r="H141" s="33" t="s">
        <v>401</v>
      </c>
    </row>
    <row r="142" spans="2:9" ht="50.45" customHeight="1">
      <c r="B142" s="18">
        <v>217</v>
      </c>
      <c r="C142" s="18" t="s">
        <v>397</v>
      </c>
      <c r="D142" s="36" t="s">
        <v>402</v>
      </c>
      <c r="E142" s="112"/>
      <c r="F142" s="116"/>
      <c r="G142" s="32"/>
      <c r="H142" s="33" t="s">
        <v>403</v>
      </c>
      <c r="I142" s="35"/>
    </row>
    <row r="143" spans="2:9" ht="39.950000000000003" customHeight="1">
      <c r="B143" s="18">
        <v>218</v>
      </c>
      <c r="C143" s="18" t="s">
        <v>397</v>
      </c>
      <c r="D143" s="34" t="s">
        <v>404</v>
      </c>
      <c r="E143" s="112"/>
      <c r="F143" s="116"/>
      <c r="G143" s="32"/>
      <c r="H143" s="33" t="s">
        <v>405</v>
      </c>
    </row>
  </sheetData>
  <sheetProtection algorithmName="SHA-512" hashValue="67bw8R9RXYeH8LIcp08qbPymSmOb6MVTgMDs2uqQKRaJHJPMfipJKESUcG1wfxj9EHx2iy+wtFRwcuHEAEpOsQ==" saltValue="0yyTI1ozkMt2W6gwT4FysQ==" spinCount="100000" sheet="1" objects="1" scenarios="1" selectLockedCells="1"/>
  <mergeCells count="5">
    <mergeCell ref="C4:H4"/>
    <mergeCell ref="C57:H57"/>
    <mergeCell ref="H64:H67"/>
    <mergeCell ref="C90:H90"/>
    <mergeCell ref="C113:H113"/>
  </mergeCells>
  <phoneticPr fontId="1"/>
  <dataValidations count="4">
    <dataValidation type="list" allowBlank="1" showInputMessage="1" showErrorMessage="1" sqref="E68">
      <formula1>"1,2,3"</formula1>
    </dataValidation>
    <dataValidation type="list" allowBlank="1" showInputMessage="1" showErrorMessage="1" sqref="E79">
      <formula1>"1,2,3"</formula1>
    </dataValidation>
    <dataValidation type="list" allowBlank="1" showInputMessage="1" showErrorMessage="1" sqref="E83">
      <formula1>"1,2"</formula1>
    </dataValidation>
    <dataValidation type="list" allowBlank="1" showInputMessage="1" showErrorMessage="1" sqref="E86">
      <formula1>"1"</formula1>
    </dataValidation>
  </dataValidations>
  <pageMargins left="0.7" right="0.7" top="0.75" bottom="0.75" header="0.3" footer="0.3"/>
  <pageSetup paperSize="9" scale="47" fitToHeight="0" orientation="portrait" r:id="rId1"/>
  <rowBreaks count="1" manualBreakCount="1">
    <brk id="123" min="1" max="7" man="1"/>
  </row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I143"/>
  <sheetViews>
    <sheetView showGridLines="0" zoomScale="85" zoomScaleNormal="85" zoomScaleSheetLayoutView="100" workbookViewId="0">
      <pane xSplit="2" ySplit="3" topLeftCell="D129" activePane="bottomRight" state="frozen"/>
      <selection activeCell="E129" sqref="E129"/>
      <selection pane="topRight" activeCell="E129" sqref="E129"/>
      <selection pane="bottomLeft" activeCell="E129" sqref="E129"/>
      <selection pane="bottomRight" activeCell="E129" sqref="E129"/>
    </sheetView>
  </sheetViews>
  <sheetFormatPr defaultColWidth="9" defaultRowHeight="13.5"/>
  <cols>
    <col min="1" max="1" width="5.25" style="81" customWidth="1"/>
    <col min="2" max="2" width="5.25" style="15" customWidth="1"/>
    <col min="3" max="3" width="13.375" style="13" customWidth="1"/>
    <col min="4" max="4" width="40" style="14" customWidth="1"/>
    <col min="5" max="5" width="21.875" style="15" customWidth="1"/>
    <col min="6" max="6" width="21.875" style="114" customWidth="1"/>
    <col min="7" max="7" width="21.875" style="15" customWidth="1"/>
    <col min="8" max="8" width="45.375" style="16" customWidth="1"/>
    <col min="9" max="16384" width="9" style="15"/>
  </cols>
  <sheetData>
    <row r="1" spans="2:9" ht="24">
      <c r="B1" s="12" t="s">
        <v>198</v>
      </c>
    </row>
    <row r="2" spans="2:9" ht="36" customHeight="1">
      <c r="E2" s="17" t="s">
        <v>199</v>
      </c>
    </row>
    <row r="3" spans="2:9" ht="42.75" customHeight="1">
      <c r="B3" s="113" t="s">
        <v>200</v>
      </c>
      <c r="C3" s="19" t="s">
        <v>201</v>
      </c>
      <c r="D3" s="20" t="s">
        <v>177</v>
      </c>
      <c r="E3" s="21" t="s">
        <v>202</v>
      </c>
      <c r="F3" s="115" t="s">
        <v>203</v>
      </c>
      <c r="G3" s="22" t="s">
        <v>204</v>
      </c>
      <c r="H3" s="23" t="s">
        <v>205</v>
      </c>
    </row>
    <row r="4" spans="2:9" ht="30.75" customHeight="1">
      <c r="B4" s="113">
        <v>1</v>
      </c>
      <c r="C4" s="138" t="s">
        <v>206</v>
      </c>
      <c r="D4" s="138"/>
      <c r="E4" s="138"/>
      <c r="F4" s="138"/>
      <c r="G4" s="138"/>
      <c r="H4" s="138"/>
    </row>
    <row r="5" spans="2:9" ht="49.15" customHeight="1">
      <c r="B5" s="113">
        <f>B4+1</f>
        <v>2</v>
      </c>
      <c r="C5" s="24" t="s">
        <v>207</v>
      </c>
      <c r="D5" s="25" t="s">
        <v>208</v>
      </c>
      <c r="E5" s="26"/>
      <c r="F5" s="116"/>
      <c r="G5" s="28">
        <f>IF(SUM(E6:E11,G12,G13)&gt;=0,SUM(E6:E11,G12,G13),0)</f>
        <v>7234760</v>
      </c>
      <c r="H5" s="29" t="s">
        <v>209</v>
      </c>
    </row>
    <row r="6" spans="2:9" ht="30.75" customHeight="1">
      <c r="B6" s="113">
        <f t="shared" ref="B6:B69" si="0">B5+1</f>
        <v>3</v>
      </c>
      <c r="C6" s="24">
        <v>8</v>
      </c>
      <c r="D6" s="30" t="s">
        <v>210</v>
      </c>
      <c r="E6" s="109">
        <v>6838000</v>
      </c>
      <c r="F6" s="116"/>
      <c r="G6" s="32"/>
      <c r="H6" s="29"/>
    </row>
    <row r="7" spans="2:9" ht="30.75" customHeight="1">
      <c r="B7" s="113">
        <f t="shared" si="0"/>
        <v>4</v>
      </c>
      <c r="C7" s="24">
        <v>14</v>
      </c>
      <c r="D7" s="30" t="s">
        <v>211</v>
      </c>
      <c r="E7" s="109">
        <v>0</v>
      </c>
      <c r="F7" s="116"/>
      <c r="G7" s="32"/>
      <c r="H7" s="33"/>
    </row>
    <row r="8" spans="2:9" ht="30.75" customHeight="1">
      <c r="B8" s="113">
        <f t="shared" si="0"/>
        <v>5</v>
      </c>
      <c r="C8" s="24">
        <v>19</v>
      </c>
      <c r="D8" s="30" t="s">
        <v>63</v>
      </c>
      <c r="E8" s="109">
        <v>0</v>
      </c>
      <c r="F8" s="116"/>
      <c r="G8" s="32"/>
      <c r="H8" s="33"/>
    </row>
    <row r="9" spans="2:9" ht="30.75" customHeight="1">
      <c r="B9" s="113">
        <f t="shared" si="0"/>
        <v>6</v>
      </c>
      <c r="C9" s="24">
        <v>24</v>
      </c>
      <c r="D9" s="30" t="s">
        <v>65</v>
      </c>
      <c r="E9" s="109">
        <v>396760</v>
      </c>
      <c r="F9" s="116"/>
      <c r="G9" s="32"/>
      <c r="H9" s="33"/>
    </row>
    <row r="10" spans="2:9" ht="30.75" customHeight="1">
      <c r="B10" s="113">
        <f t="shared" si="0"/>
        <v>7</v>
      </c>
      <c r="C10" s="24">
        <v>25</v>
      </c>
      <c r="D10" s="30" t="s">
        <v>67</v>
      </c>
      <c r="E10" s="109">
        <v>0</v>
      </c>
      <c r="F10" s="116"/>
      <c r="G10" s="32"/>
      <c r="H10" s="33"/>
    </row>
    <row r="11" spans="2:9" ht="30.75" customHeight="1">
      <c r="B11" s="113">
        <f t="shared" si="0"/>
        <v>8</v>
      </c>
      <c r="C11" s="24">
        <v>26</v>
      </c>
      <c r="D11" s="30" t="s">
        <v>69</v>
      </c>
      <c r="E11" s="109">
        <v>0</v>
      </c>
      <c r="F11" s="116"/>
      <c r="G11" s="32"/>
      <c r="H11" s="33"/>
    </row>
    <row r="12" spans="2:9" ht="54.6" customHeight="1">
      <c r="B12" s="113">
        <f t="shared" si="0"/>
        <v>9</v>
      </c>
      <c r="C12" s="24">
        <v>27</v>
      </c>
      <c r="D12" s="30" t="s">
        <v>71</v>
      </c>
      <c r="E12" s="109">
        <v>0</v>
      </c>
      <c r="F12" s="116" t="s">
        <v>212</v>
      </c>
      <c r="G12" s="28">
        <f>ROUNDDOWN(E12/2,0)</f>
        <v>0</v>
      </c>
      <c r="H12" s="8" t="s">
        <v>213</v>
      </c>
      <c r="I12" s="35"/>
    </row>
    <row r="13" spans="2:9" ht="30.75" customHeight="1">
      <c r="B13" s="113">
        <f t="shared" si="0"/>
        <v>10</v>
      </c>
      <c r="C13" s="24">
        <v>33</v>
      </c>
      <c r="D13" s="30" t="s">
        <v>73</v>
      </c>
      <c r="E13" s="109">
        <v>0</v>
      </c>
      <c r="F13" s="116" t="s">
        <v>212</v>
      </c>
      <c r="G13" s="28">
        <f>ROUNDDOWN(E13/2,0)</f>
        <v>0</v>
      </c>
      <c r="H13" s="8" t="s">
        <v>214</v>
      </c>
      <c r="I13" s="35"/>
    </row>
    <row r="14" spans="2:9" ht="30.75" customHeight="1">
      <c r="B14" s="113">
        <f t="shared" si="0"/>
        <v>11</v>
      </c>
      <c r="C14" s="18">
        <v>55</v>
      </c>
      <c r="D14" s="34" t="s">
        <v>215</v>
      </c>
      <c r="E14" s="109">
        <v>0</v>
      </c>
      <c r="F14" s="116" t="s">
        <v>216</v>
      </c>
      <c r="G14" s="28">
        <f>IF(E14&gt;=0,E14,0)</f>
        <v>0</v>
      </c>
      <c r="H14" s="8" t="s">
        <v>217</v>
      </c>
    </row>
    <row r="15" spans="2:9" ht="40.9" customHeight="1">
      <c r="B15" s="113">
        <f t="shared" si="0"/>
        <v>12</v>
      </c>
      <c r="C15" s="18" t="s">
        <v>207</v>
      </c>
      <c r="D15" s="34" t="s">
        <v>218</v>
      </c>
      <c r="E15" s="32">
        <f>SUM(E16,E17)</f>
        <v>0</v>
      </c>
      <c r="F15" s="116" t="s">
        <v>216</v>
      </c>
      <c r="G15" s="28">
        <f>IF(E15&gt;=0,E15,0)</f>
        <v>0</v>
      </c>
      <c r="H15" s="8" t="s">
        <v>219</v>
      </c>
      <c r="I15" s="35"/>
    </row>
    <row r="16" spans="2:9" ht="30.75" customHeight="1">
      <c r="B16" s="113">
        <f t="shared" si="0"/>
        <v>13</v>
      </c>
      <c r="C16" s="18">
        <v>47</v>
      </c>
      <c r="D16" s="30" t="s">
        <v>77</v>
      </c>
      <c r="E16" s="109">
        <v>0</v>
      </c>
      <c r="F16" s="116"/>
      <c r="G16" s="32"/>
      <c r="H16" s="8"/>
    </row>
    <row r="17" spans="2:9" ht="30.75" customHeight="1">
      <c r="B17" s="113">
        <f t="shared" si="0"/>
        <v>14</v>
      </c>
      <c r="C17" s="18">
        <v>49</v>
      </c>
      <c r="D17" s="30" t="s">
        <v>220</v>
      </c>
      <c r="E17" s="109">
        <v>0</v>
      </c>
      <c r="F17" s="116"/>
      <c r="G17" s="32"/>
      <c r="H17" s="8"/>
    </row>
    <row r="18" spans="2:9" ht="55.9" customHeight="1">
      <c r="B18" s="113">
        <f t="shared" si="0"/>
        <v>15</v>
      </c>
      <c r="C18" s="18" t="s">
        <v>207</v>
      </c>
      <c r="D18" s="34" t="s">
        <v>221</v>
      </c>
      <c r="E18" s="32">
        <f>SUM(E19,E20,E21)</f>
        <v>0</v>
      </c>
      <c r="F18" s="116" t="s">
        <v>216</v>
      </c>
      <c r="G18" s="28">
        <f>IF(E18&gt;=0,E18,0)</f>
        <v>0</v>
      </c>
      <c r="H18" s="8" t="s">
        <v>222</v>
      </c>
      <c r="I18" s="35"/>
    </row>
    <row r="19" spans="2:9" ht="30.75" customHeight="1">
      <c r="B19" s="113">
        <f t="shared" si="0"/>
        <v>16</v>
      </c>
      <c r="C19" s="18">
        <v>40</v>
      </c>
      <c r="D19" s="30" t="s">
        <v>81</v>
      </c>
      <c r="E19" s="109">
        <v>0</v>
      </c>
      <c r="F19" s="116"/>
      <c r="G19" s="32"/>
      <c r="H19" s="33"/>
    </row>
    <row r="20" spans="2:9" ht="30.75" customHeight="1">
      <c r="B20" s="113">
        <f t="shared" si="0"/>
        <v>17</v>
      </c>
      <c r="C20" s="18">
        <v>42</v>
      </c>
      <c r="D20" s="30" t="s">
        <v>223</v>
      </c>
      <c r="E20" s="109">
        <v>0</v>
      </c>
      <c r="F20" s="116"/>
      <c r="G20" s="32"/>
      <c r="H20" s="33"/>
    </row>
    <row r="21" spans="2:9" ht="30.75" customHeight="1">
      <c r="B21" s="113">
        <f t="shared" si="0"/>
        <v>18</v>
      </c>
      <c r="C21" s="18">
        <v>43</v>
      </c>
      <c r="D21" s="30" t="s">
        <v>224</v>
      </c>
      <c r="E21" s="109">
        <v>0</v>
      </c>
      <c r="F21" s="116"/>
      <c r="G21" s="32"/>
      <c r="H21" s="33"/>
    </row>
    <row r="22" spans="2:9" ht="30.75" customHeight="1">
      <c r="B22" s="113">
        <f t="shared" si="0"/>
        <v>19</v>
      </c>
      <c r="C22" s="18">
        <v>53</v>
      </c>
      <c r="D22" s="34" t="s">
        <v>87</v>
      </c>
      <c r="E22" s="109">
        <v>0</v>
      </c>
      <c r="F22" s="116" t="s">
        <v>216</v>
      </c>
      <c r="G22" s="28">
        <f>IF(E22&gt;=0,E22,0)</f>
        <v>0</v>
      </c>
      <c r="H22" s="40" t="s">
        <v>225</v>
      </c>
    </row>
    <row r="23" spans="2:9" ht="43.15" customHeight="1">
      <c r="B23" s="113">
        <f t="shared" si="0"/>
        <v>20</v>
      </c>
      <c r="C23" s="18">
        <v>54</v>
      </c>
      <c r="D23" s="34" t="s">
        <v>89</v>
      </c>
      <c r="E23" s="109">
        <v>0</v>
      </c>
      <c r="F23" s="116" t="s">
        <v>216</v>
      </c>
      <c r="G23" s="98">
        <f>IF(E23&gt;=0,E23,0)</f>
        <v>0</v>
      </c>
      <c r="H23" s="8" t="s">
        <v>529</v>
      </c>
    </row>
    <row r="24" spans="2:9" ht="30.75" customHeight="1">
      <c r="B24" s="113">
        <f t="shared" si="0"/>
        <v>21</v>
      </c>
      <c r="C24" s="18">
        <v>56</v>
      </c>
      <c r="D24" s="34" t="s">
        <v>91</v>
      </c>
      <c r="E24" s="109">
        <v>0</v>
      </c>
      <c r="F24" s="116" t="s">
        <v>216</v>
      </c>
      <c r="G24" s="28">
        <f>IF(E24&gt;=0,E24,0)</f>
        <v>0</v>
      </c>
      <c r="H24" s="99" t="s">
        <v>225</v>
      </c>
    </row>
    <row r="25" spans="2:9" ht="30.75" customHeight="1">
      <c r="B25" s="113">
        <f t="shared" si="0"/>
        <v>22</v>
      </c>
      <c r="C25" s="18">
        <v>34</v>
      </c>
      <c r="D25" s="34" t="s">
        <v>226</v>
      </c>
      <c r="E25" s="109">
        <v>0</v>
      </c>
      <c r="F25" s="116" t="s">
        <v>216</v>
      </c>
      <c r="G25" s="28">
        <f>E25</f>
        <v>0</v>
      </c>
      <c r="H25" s="33" t="s">
        <v>227</v>
      </c>
    </row>
    <row r="26" spans="2:9" ht="30.75" customHeight="1">
      <c r="B26" s="113">
        <f t="shared" si="0"/>
        <v>23</v>
      </c>
      <c r="C26" s="18">
        <v>35</v>
      </c>
      <c r="D26" s="34" t="s">
        <v>228</v>
      </c>
      <c r="E26" s="109">
        <v>0</v>
      </c>
      <c r="F26" s="116" t="s">
        <v>216</v>
      </c>
      <c r="G26" s="28">
        <f>E26</f>
        <v>0</v>
      </c>
      <c r="H26" s="33" t="s">
        <v>229</v>
      </c>
    </row>
    <row r="27" spans="2:9" ht="30.75" customHeight="1">
      <c r="B27" s="113">
        <f t="shared" si="0"/>
        <v>24</v>
      </c>
      <c r="C27" s="18" t="s">
        <v>207</v>
      </c>
      <c r="D27" s="34" t="s">
        <v>230</v>
      </c>
      <c r="E27" s="32"/>
      <c r="F27" s="116"/>
      <c r="G27" s="28">
        <f>IF(AND(E6="",E7="",E8="",E9="",E10="",E11="",E12="",E13="",E14="",E16="",E17="",E19="",E20="",E21="",E22="",E23="",E24="",E25="",E26=""),"",MAX(SUM(G5,G14:G15,G18,G22:G26),0))</f>
        <v>7234760</v>
      </c>
      <c r="H27" s="29" t="s">
        <v>231</v>
      </c>
      <c r="I27" s="35"/>
    </row>
    <row r="28" spans="2:9" ht="30.75" customHeight="1">
      <c r="B28" s="113">
        <f t="shared" si="0"/>
        <v>25</v>
      </c>
      <c r="C28" s="18">
        <v>63</v>
      </c>
      <c r="D28" s="36" t="s">
        <v>232</v>
      </c>
      <c r="E28" s="109">
        <v>0</v>
      </c>
      <c r="F28" s="116" t="s">
        <v>216</v>
      </c>
      <c r="G28" s="28">
        <f t="shared" ref="G28:G34" si="1">E28</f>
        <v>0</v>
      </c>
      <c r="H28" s="33"/>
    </row>
    <row r="29" spans="2:9" ht="30.75" customHeight="1">
      <c r="B29" s="113">
        <f t="shared" si="0"/>
        <v>26</v>
      </c>
      <c r="C29" s="18">
        <v>69</v>
      </c>
      <c r="D29" s="36" t="s">
        <v>233</v>
      </c>
      <c r="E29" s="109">
        <v>0</v>
      </c>
      <c r="F29" s="116" t="s">
        <v>216</v>
      </c>
      <c r="G29" s="28">
        <f t="shared" si="1"/>
        <v>0</v>
      </c>
      <c r="H29" s="33"/>
    </row>
    <row r="30" spans="2:9" ht="30.75" customHeight="1">
      <c r="B30" s="113">
        <f t="shared" si="0"/>
        <v>27</v>
      </c>
      <c r="C30" s="18">
        <v>64</v>
      </c>
      <c r="D30" s="36" t="s">
        <v>234</v>
      </c>
      <c r="E30" s="109">
        <v>0</v>
      </c>
      <c r="F30" s="116" t="s">
        <v>216</v>
      </c>
      <c r="G30" s="28">
        <f t="shared" si="1"/>
        <v>0</v>
      </c>
      <c r="H30" s="33"/>
    </row>
    <row r="31" spans="2:9" ht="30.75" customHeight="1">
      <c r="B31" s="113">
        <f t="shared" si="0"/>
        <v>28</v>
      </c>
      <c r="C31" s="18">
        <v>65</v>
      </c>
      <c r="D31" s="36" t="s">
        <v>235</v>
      </c>
      <c r="E31" s="109">
        <v>0</v>
      </c>
      <c r="F31" s="116" t="s">
        <v>216</v>
      </c>
      <c r="G31" s="28">
        <f t="shared" si="1"/>
        <v>0</v>
      </c>
      <c r="H31" s="33"/>
    </row>
    <row r="32" spans="2:9" ht="30.75" customHeight="1">
      <c r="B32" s="113">
        <f t="shared" si="0"/>
        <v>29</v>
      </c>
      <c r="C32" s="18">
        <v>66</v>
      </c>
      <c r="D32" s="36" t="s">
        <v>236</v>
      </c>
      <c r="E32" s="109">
        <v>0</v>
      </c>
      <c r="F32" s="116" t="s">
        <v>216</v>
      </c>
      <c r="G32" s="28">
        <f t="shared" si="1"/>
        <v>0</v>
      </c>
      <c r="H32" s="33"/>
    </row>
    <row r="33" spans="2:9" ht="30.75" customHeight="1">
      <c r="B33" s="113">
        <f t="shared" si="0"/>
        <v>30</v>
      </c>
      <c r="C33" s="18">
        <v>67</v>
      </c>
      <c r="D33" s="36" t="s">
        <v>237</v>
      </c>
      <c r="E33" s="109">
        <v>0</v>
      </c>
      <c r="F33" s="116" t="s">
        <v>216</v>
      </c>
      <c r="G33" s="28">
        <f t="shared" si="1"/>
        <v>0</v>
      </c>
      <c r="H33" s="33"/>
    </row>
    <row r="34" spans="2:9" ht="30.75" customHeight="1">
      <c r="B34" s="113">
        <f t="shared" si="0"/>
        <v>31</v>
      </c>
      <c r="C34" s="37">
        <v>68</v>
      </c>
      <c r="D34" s="38" t="s">
        <v>238</v>
      </c>
      <c r="E34" s="110">
        <v>0</v>
      </c>
      <c r="F34" s="117" t="s">
        <v>216</v>
      </c>
      <c r="G34" s="39">
        <f t="shared" si="1"/>
        <v>0</v>
      </c>
      <c r="H34" s="40"/>
    </row>
    <row r="35" spans="2:9" ht="42.6" customHeight="1">
      <c r="B35" s="113">
        <f t="shared" si="0"/>
        <v>32</v>
      </c>
      <c r="C35" s="18" t="s">
        <v>207</v>
      </c>
      <c r="D35" s="41" t="s">
        <v>239</v>
      </c>
      <c r="E35" s="42"/>
      <c r="F35" s="116"/>
      <c r="G35" s="28">
        <f>IF(G22&gt;=G33,(G22-G33),0)</f>
        <v>0</v>
      </c>
      <c r="H35" s="29" t="s">
        <v>240</v>
      </c>
    </row>
    <row r="36" spans="2:9" ht="30.75" customHeight="1">
      <c r="B36" s="113">
        <f t="shared" si="0"/>
        <v>33</v>
      </c>
      <c r="C36" s="43" t="s">
        <v>207</v>
      </c>
      <c r="D36" s="44" t="s">
        <v>241</v>
      </c>
      <c r="E36" s="45"/>
      <c r="F36" s="118"/>
      <c r="G36" s="45">
        <f>IF(G35&gt;=1,0,G33-G22)</f>
        <v>0</v>
      </c>
      <c r="H36" s="46"/>
      <c r="I36" s="35"/>
    </row>
    <row r="37" spans="2:9" ht="76.150000000000006" customHeight="1">
      <c r="B37" s="113">
        <f t="shared" si="0"/>
        <v>34</v>
      </c>
      <c r="C37" s="18" t="s">
        <v>207</v>
      </c>
      <c r="D37" s="41" t="s">
        <v>242</v>
      </c>
      <c r="E37" s="42"/>
      <c r="F37" s="116"/>
      <c r="G37" s="28">
        <f>IF(G23&gt;=SUM(G32,G36),G23-SUM(G32,G36),0)</f>
        <v>0</v>
      </c>
      <c r="H37" s="29" t="s">
        <v>243</v>
      </c>
    </row>
    <row r="38" spans="2:9" ht="30.75" customHeight="1">
      <c r="B38" s="113">
        <f t="shared" si="0"/>
        <v>35</v>
      </c>
      <c r="C38" s="43" t="s">
        <v>207</v>
      </c>
      <c r="D38" s="44" t="s">
        <v>241</v>
      </c>
      <c r="E38" s="45"/>
      <c r="F38" s="118"/>
      <c r="G38" s="45">
        <f>IF(G37&gt;=1,0,SUM(G32,G36)-G23)</f>
        <v>0</v>
      </c>
      <c r="H38" s="47"/>
      <c r="I38" s="35"/>
    </row>
    <row r="39" spans="2:9" ht="34.15" customHeight="1">
      <c r="B39" s="113">
        <f t="shared" si="0"/>
        <v>36</v>
      </c>
      <c r="C39" s="18" t="s">
        <v>207</v>
      </c>
      <c r="D39" s="41" t="s">
        <v>244</v>
      </c>
      <c r="E39" s="42"/>
      <c r="F39" s="116"/>
      <c r="G39" s="28">
        <f>IF(G14&gt;=G38,G14-G38,0)</f>
        <v>0</v>
      </c>
      <c r="H39" s="29" t="s">
        <v>245</v>
      </c>
    </row>
    <row r="40" spans="2:9" ht="34.5" customHeight="1">
      <c r="B40" s="113">
        <f t="shared" si="0"/>
        <v>37</v>
      </c>
      <c r="C40" s="18" t="s">
        <v>207</v>
      </c>
      <c r="D40" s="41" t="s">
        <v>246</v>
      </c>
      <c r="E40" s="42"/>
      <c r="F40" s="116"/>
      <c r="G40" s="28">
        <f>IF(G24&gt;=G34,G24-G34,0)</f>
        <v>0</v>
      </c>
      <c r="H40" s="29" t="s">
        <v>247</v>
      </c>
    </row>
    <row r="41" spans="2:9" ht="42.6" customHeight="1">
      <c r="B41" s="113">
        <f t="shared" si="0"/>
        <v>38</v>
      </c>
      <c r="C41" s="48" t="s">
        <v>207</v>
      </c>
      <c r="D41" s="49" t="s">
        <v>248</v>
      </c>
      <c r="E41" s="50"/>
      <c r="F41" s="119"/>
      <c r="G41" s="51">
        <f>IF(G18&gt;=SUM(G30:G31),G18-SUM(G30:G31),0)</f>
        <v>0</v>
      </c>
      <c r="H41" s="52" t="s">
        <v>249</v>
      </c>
    </row>
    <row r="42" spans="2:9" ht="30.75" customHeight="1">
      <c r="B42" s="113">
        <f t="shared" si="0"/>
        <v>39</v>
      </c>
      <c r="C42" s="43" t="s">
        <v>207</v>
      </c>
      <c r="D42" s="44" t="s">
        <v>241</v>
      </c>
      <c r="E42" s="45"/>
      <c r="F42" s="118"/>
      <c r="G42" s="45">
        <f>IF(G41&gt;=1,0,SUM(G30:G31)-G18)</f>
        <v>0</v>
      </c>
      <c r="H42" s="47"/>
    </row>
    <row r="43" spans="2:9" ht="30.75" customHeight="1">
      <c r="B43" s="113">
        <f t="shared" si="0"/>
        <v>40</v>
      </c>
      <c r="C43" s="18">
        <v>41</v>
      </c>
      <c r="D43" s="30" t="s">
        <v>250</v>
      </c>
      <c r="E43" s="109">
        <v>0</v>
      </c>
      <c r="F43" s="116" t="s">
        <v>216</v>
      </c>
      <c r="G43" s="28">
        <f>E43</f>
        <v>0</v>
      </c>
      <c r="H43" s="53"/>
    </row>
    <row r="44" spans="2:9" ht="30.75" customHeight="1">
      <c r="B44" s="113">
        <f t="shared" si="0"/>
        <v>41</v>
      </c>
      <c r="C44" s="18">
        <v>44</v>
      </c>
      <c r="D44" s="30" t="s">
        <v>113</v>
      </c>
      <c r="E44" s="109">
        <v>0</v>
      </c>
      <c r="F44" s="116" t="s">
        <v>216</v>
      </c>
      <c r="G44" s="28">
        <f>E44</f>
        <v>0</v>
      </c>
      <c r="H44" s="53"/>
    </row>
    <row r="45" spans="2:9" ht="43.15" customHeight="1">
      <c r="B45" s="113">
        <f t="shared" si="0"/>
        <v>42</v>
      </c>
      <c r="C45" s="18" t="s">
        <v>207</v>
      </c>
      <c r="D45" s="49" t="s">
        <v>251</v>
      </c>
      <c r="E45" s="32"/>
      <c r="F45" s="116"/>
      <c r="G45" s="28">
        <f>IF(G41-SUM(G43:G44)&gt;=0,G41-SUM(G43:G44),0)</f>
        <v>0</v>
      </c>
      <c r="H45" s="33" t="s">
        <v>252</v>
      </c>
    </row>
    <row r="46" spans="2:9" ht="43.15" customHeight="1">
      <c r="B46" s="113">
        <f t="shared" si="0"/>
        <v>43</v>
      </c>
      <c r="C46" s="18" t="s">
        <v>207</v>
      </c>
      <c r="D46" s="41" t="s">
        <v>253</v>
      </c>
      <c r="E46" s="42"/>
      <c r="F46" s="116"/>
      <c r="G46" s="28">
        <f>IF(G15&gt;=G42,G15-G42,0)</f>
        <v>0</v>
      </c>
      <c r="H46" s="29" t="s">
        <v>254</v>
      </c>
    </row>
    <row r="47" spans="2:9" ht="30.75" customHeight="1">
      <c r="B47" s="113">
        <f t="shared" si="0"/>
        <v>44</v>
      </c>
      <c r="C47" s="43" t="s">
        <v>207</v>
      </c>
      <c r="D47" s="44" t="s">
        <v>241</v>
      </c>
      <c r="E47" s="45"/>
      <c r="F47" s="118"/>
      <c r="G47" s="45">
        <f>IF(G46&gt;=1,0,G42-G15)</f>
        <v>0</v>
      </c>
      <c r="H47" s="47"/>
    </row>
    <row r="48" spans="2:9" ht="30.75" customHeight="1">
      <c r="B48" s="113">
        <f t="shared" si="0"/>
        <v>45</v>
      </c>
      <c r="C48" s="18">
        <v>48</v>
      </c>
      <c r="D48" s="30" t="s">
        <v>115</v>
      </c>
      <c r="E48" s="31"/>
      <c r="F48" s="116" t="s">
        <v>216</v>
      </c>
      <c r="G48" s="28">
        <f>E48</f>
        <v>0</v>
      </c>
      <c r="H48" s="53"/>
    </row>
    <row r="49" spans="2:9" ht="30.75" customHeight="1">
      <c r="B49" s="113">
        <f t="shared" si="0"/>
        <v>46</v>
      </c>
      <c r="C49" s="18">
        <v>50</v>
      </c>
      <c r="D49" s="30" t="s">
        <v>117</v>
      </c>
      <c r="E49" s="31"/>
      <c r="F49" s="116" t="s">
        <v>216</v>
      </c>
      <c r="G49" s="28">
        <f>E49</f>
        <v>0</v>
      </c>
      <c r="H49" s="53"/>
    </row>
    <row r="50" spans="2:9" ht="46.15" customHeight="1">
      <c r="B50" s="113">
        <f t="shared" si="0"/>
        <v>47</v>
      </c>
      <c r="C50" s="18" t="s">
        <v>207</v>
      </c>
      <c r="D50" s="49" t="s">
        <v>255</v>
      </c>
      <c r="E50" s="32"/>
      <c r="F50" s="116"/>
      <c r="G50" s="28">
        <f>IF(G46-SUM(G48:G49)&gt;=0,G46-SUM(G48:G49),0)</f>
        <v>0</v>
      </c>
      <c r="H50" s="33" t="s">
        <v>256</v>
      </c>
    </row>
    <row r="51" spans="2:9" ht="47.25" customHeight="1">
      <c r="B51" s="113">
        <f t="shared" si="0"/>
        <v>48</v>
      </c>
      <c r="C51" s="18" t="s">
        <v>207</v>
      </c>
      <c r="D51" s="41" t="s">
        <v>257</v>
      </c>
      <c r="E51" s="42"/>
      <c r="F51" s="116"/>
      <c r="G51" s="28">
        <f>IF(G5&gt;=SUM(G28:G29,G47),G5-SUM(G28:G29,G47),0)</f>
        <v>7234760</v>
      </c>
      <c r="H51" s="29" t="s">
        <v>258</v>
      </c>
      <c r="I51" s="35"/>
    </row>
    <row r="52" spans="2:9" ht="30.75" customHeight="1">
      <c r="B52" s="113">
        <f t="shared" si="0"/>
        <v>49</v>
      </c>
      <c r="C52" s="43" t="s">
        <v>207</v>
      </c>
      <c r="D52" s="44" t="s">
        <v>241</v>
      </c>
      <c r="E52" s="45"/>
      <c r="F52" s="118"/>
      <c r="G52" s="45">
        <f>IF(G51&gt;=1,0,SUM(G28:G29,G47)-G5)</f>
        <v>0</v>
      </c>
      <c r="H52" s="47"/>
    </row>
    <row r="53" spans="2:9" ht="42.6" customHeight="1">
      <c r="B53" s="113">
        <f t="shared" si="0"/>
        <v>50</v>
      </c>
      <c r="C53" s="18" t="s">
        <v>207</v>
      </c>
      <c r="D53" s="41" t="s">
        <v>259</v>
      </c>
      <c r="E53" s="42"/>
      <c r="F53" s="116"/>
      <c r="G53" s="28">
        <f>IF(G25&gt;=G52,G25-G52,0)</f>
        <v>0</v>
      </c>
      <c r="H53" s="29" t="s">
        <v>260</v>
      </c>
    </row>
    <row r="54" spans="2:9" ht="30.75" customHeight="1">
      <c r="B54" s="113">
        <f t="shared" si="0"/>
        <v>51</v>
      </c>
      <c r="C54" s="43" t="s">
        <v>207</v>
      </c>
      <c r="D54" s="54" t="s">
        <v>241</v>
      </c>
      <c r="E54" s="45"/>
      <c r="F54" s="118"/>
      <c r="G54" s="45">
        <f>IF(G53&gt;=1,0,(G52-G25))</f>
        <v>0</v>
      </c>
      <c r="H54" s="47"/>
      <c r="I54" s="35"/>
    </row>
    <row r="55" spans="2:9" ht="42.6" customHeight="1">
      <c r="B55" s="113">
        <f t="shared" si="0"/>
        <v>52</v>
      </c>
      <c r="C55" s="18" t="s">
        <v>207</v>
      </c>
      <c r="D55" s="41" t="s">
        <v>261</v>
      </c>
      <c r="E55" s="42"/>
      <c r="F55" s="116"/>
      <c r="G55" s="28">
        <f>IF(G26&gt;=G54,G26-G54,0)</f>
        <v>0</v>
      </c>
      <c r="H55" s="29" t="s">
        <v>262</v>
      </c>
    </row>
    <row r="56" spans="2:9" ht="30.75" customHeight="1">
      <c r="B56" s="113">
        <f t="shared" si="0"/>
        <v>53</v>
      </c>
      <c r="C56" s="43" t="s">
        <v>207</v>
      </c>
      <c r="D56" s="44" t="s">
        <v>241</v>
      </c>
      <c r="E56" s="45"/>
      <c r="F56" s="118"/>
      <c r="G56" s="45">
        <f>IF(G55&gt;=1,0,(G54-G26))</f>
        <v>0</v>
      </c>
      <c r="H56" s="47"/>
      <c r="I56" s="35"/>
    </row>
    <row r="57" spans="2:9" ht="30" customHeight="1">
      <c r="B57" s="113">
        <f t="shared" si="0"/>
        <v>54</v>
      </c>
      <c r="C57" s="139" t="s">
        <v>263</v>
      </c>
      <c r="D57" s="139"/>
      <c r="E57" s="139"/>
      <c r="F57" s="139"/>
      <c r="G57" s="139"/>
      <c r="H57" s="139"/>
    </row>
    <row r="58" spans="2:9" ht="30.75" customHeight="1">
      <c r="B58" s="113">
        <f t="shared" si="0"/>
        <v>55</v>
      </c>
      <c r="C58" s="18">
        <v>70</v>
      </c>
      <c r="D58" s="34" t="s">
        <v>264</v>
      </c>
      <c r="E58" s="109">
        <v>0</v>
      </c>
      <c r="F58" s="116" t="s">
        <v>216</v>
      </c>
      <c r="G58" s="28">
        <f>E58</f>
        <v>0</v>
      </c>
      <c r="H58" s="53" t="s">
        <v>265</v>
      </c>
    </row>
    <row r="59" spans="2:9" ht="30.75" customHeight="1">
      <c r="B59" s="113">
        <f t="shared" si="0"/>
        <v>56</v>
      </c>
      <c r="C59" s="18">
        <v>71</v>
      </c>
      <c r="D59" s="34" t="s">
        <v>266</v>
      </c>
      <c r="E59" s="109">
        <v>0</v>
      </c>
      <c r="F59" s="116" t="s">
        <v>216</v>
      </c>
      <c r="G59" s="28">
        <f t="shared" ref="G59:G61" si="2">E59</f>
        <v>0</v>
      </c>
      <c r="H59" s="55" t="s">
        <v>265</v>
      </c>
    </row>
    <row r="60" spans="2:9" ht="30.75" customHeight="1">
      <c r="B60" s="113">
        <f t="shared" si="0"/>
        <v>57</v>
      </c>
      <c r="C60" s="18">
        <v>72</v>
      </c>
      <c r="D60" s="34" t="s">
        <v>267</v>
      </c>
      <c r="E60" s="109">
        <v>0</v>
      </c>
      <c r="F60" s="116" t="s">
        <v>216</v>
      </c>
      <c r="G60" s="28">
        <f t="shared" si="2"/>
        <v>0</v>
      </c>
      <c r="H60" s="55" t="s">
        <v>265</v>
      </c>
    </row>
    <row r="61" spans="2:9" ht="30.75" customHeight="1">
      <c r="B61" s="113">
        <f t="shared" si="0"/>
        <v>58</v>
      </c>
      <c r="C61" s="18">
        <v>73</v>
      </c>
      <c r="D61" s="34" t="s">
        <v>268</v>
      </c>
      <c r="E61" s="109">
        <v>1229052</v>
      </c>
      <c r="F61" s="116" t="s">
        <v>216</v>
      </c>
      <c r="G61" s="28">
        <f t="shared" si="2"/>
        <v>1229052</v>
      </c>
      <c r="H61" s="55" t="s">
        <v>265</v>
      </c>
    </row>
    <row r="62" spans="2:9" ht="94.5">
      <c r="B62" s="113">
        <f t="shared" si="0"/>
        <v>59</v>
      </c>
      <c r="C62" s="18">
        <v>74</v>
      </c>
      <c r="D62" s="34" t="s">
        <v>269</v>
      </c>
      <c r="E62" s="109">
        <v>70000</v>
      </c>
      <c r="F62" s="116" t="s">
        <v>270</v>
      </c>
      <c r="G62" s="28">
        <f>E62*4/2.8</f>
        <v>100000</v>
      </c>
      <c r="H62" s="29" t="s">
        <v>271</v>
      </c>
      <c r="I62" s="35"/>
    </row>
    <row r="63" spans="2:9" ht="40.5">
      <c r="B63" s="113">
        <f t="shared" si="0"/>
        <v>60</v>
      </c>
      <c r="C63" s="18">
        <v>75</v>
      </c>
      <c r="D63" s="34" t="s">
        <v>272</v>
      </c>
      <c r="E63" s="109">
        <v>2284</v>
      </c>
      <c r="F63" s="116" t="s">
        <v>273</v>
      </c>
      <c r="G63" s="28">
        <f>E63*2</f>
        <v>4568</v>
      </c>
      <c r="H63" s="29" t="s">
        <v>274</v>
      </c>
    </row>
    <row r="64" spans="2:9" ht="41.45" customHeight="1">
      <c r="B64" s="113">
        <f t="shared" si="0"/>
        <v>61</v>
      </c>
      <c r="C64" s="18">
        <v>76</v>
      </c>
      <c r="D64" s="34" t="s">
        <v>275</v>
      </c>
      <c r="E64" s="109"/>
      <c r="F64" s="116"/>
      <c r="G64" s="32"/>
      <c r="H64" s="140" t="s">
        <v>276</v>
      </c>
    </row>
    <row r="65" spans="2:8" ht="41.45" customHeight="1">
      <c r="B65" s="113">
        <f t="shared" si="0"/>
        <v>62</v>
      </c>
      <c r="C65" s="18" t="s">
        <v>207</v>
      </c>
      <c r="D65" s="30" t="s">
        <v>277</v>
      </c>
      <c r="E65" s="32"/>
      <c r="F65" s="116"/>
      <c r="G65" s="28">
        <f>IF(G27&lt;=9000000,IF(E64=330000,380000,E64),0)</f>
        <v>0</v>
      </c>
      <c r="H65" s="140"/>
    </row>
    <row r="66" spans="2:8" ht="41.45" customHeight="1">
      <c r="B66" s="113">
        <f t="shared" si="0"/>
        <v>63</v>
      </c>
      <c r="C66" s="18" t="s">
        <v>207</v>
      </c>
      <c r="D66" s="56" t="s">
        <v>278</v>
      </c>
      <c r="E66" s="32"/>
      <c r="F66" s="116"/>
      <c r="G66" s="28">
        <f>IF(AND(9000000&lt;G27,G27&lt;=9500000),IF(E64=220000,260000,E64),0)</f>
        <v>0</v>
      </c>
      <c r="H66" s="140"/>
    </row>
    <row r="67" spans="2:8" ht="41.45" customHeight="1">
      <c r="B67" s="113">
        <f t="shared" si="0"/>
        <v>64</v>
      </c>
      <c r="C67" s="18" t="s">
        <v>207</v>
      </c>
      <c r="D67" s="56" t="s">
        <v>279</v>
      </c>
      <c r="E67" s="32"/>
      <c r="F67" s="116"/>
      <c r="G67" s="28">
        <f>IF(AND(9500000&lt;G27,G27&lt;=10000000),IF(E64=110000,130000,E64),0)</f>
        <v>0</v>
      </c>
      <c r="H67" s="140"/>
    </row>
    <row r="68" spans="2:8" ht="30.75" customHeight="1">
      <c r="B68" s="113">
        <f t="shared" si="0"/>
        <v>65</v>
      </c>
      <c r="C68" s="18">
        <v>77</v>
      </c>
      <c r="D68" s="34" t="s">
        <v>280</v>
      </c>
      <c r="E68" s="109">
        <v>1</v>
      </c>
      <c r="F68" s="116"/>
      <c r="G68" s="32"/>
      <c r="H68" s="29"/>
    </row>
    <row r="69" spans="2:8" ht="30.75" customHeight="1">
      <c r="B69" s="113">
        <f t="shared" si="0"/>
        <v>66</v>
      </c>
      <c r="C69" s="18" t="s">
        <v>207</v>
      </c>
      <c r="D69" s="30" t="s">
        <v>281</v>
      </c>
      <c r="E69" s="32"/>
      <c r="F69" s="120" t="s">
        <v>282</v>
      </c>
      <c r="G69" s="28">
        <f>IF(E68=1,IF(G27&lt;=9000000,380000,IF(G27&lt;=9500000,260000,IF(G27&lt;=10000000,130000,0))),0)</f>
        <v>380000</v>
      </c>
      <c r="H69" s="29" t="s">
        <v>283</v>
      </c>
    </row>
    <row r="70" spans="2:8" ht="30.75" customHeight="1">
      <c r="B70" s="113">
        <f t="shared" ref="B70:B120" si="3">B69+1</f>
        <v>67</v>
      </c>
      <c r="C70" s="18" t="s">
        <v>207</v>
      </c>
      <c r="D70" s="30" t="s">
        <v>284</v>
      </c>
      <c r="E70" s="32"/>
      <c r="F70" s="120" t="s">
        <v>285</v>
      </c>
      <c r="G70" s="28">
        <f>IF(E68=2,IF(G27&lt;=9000000,480000,IF(G27&lt;=9500000,320000,IF(G27&lt;=10000000,160000,0))),0)</f>
        <v>0</v>
      </c>
      <c r="H70" s="29" t="s">
        <v>286</v>
      </c>
    </row>
    <row r="71" spans="2:8" ht="30.75" customHeight="1">
      <c r="B71" s="113">
        <f t="shared" si="3"/>
        <v>68</v>
      </c>
      <c r="C71" s="18" t="s">
        <v>207</v>
      </c>
      <c r="D71" s="56" t="s">
        <v>287</v>
      </c>
      <c r="E71" s="32"/>
      <c r="F71" s="121" t="s">
        <v>288</v>
      </c>
      <c r="G71" s="28">
        <f>IF(E68=3,0,0)</f>
        <v>0</v>
      </c>
      <c r="H71" s="29" t="s">
        <v>289</v>
      </c>
    </row>
    <row r="72" spans="2:8" ht="30.75" customHeight="1">
      <c r="B72" s="113">
        <f t="shared" si="3"/>
        <v>69</v>
      </c>
      <c r="C72" s="18">
        <v>80</v>
      </c>
      <c r="D72" s="34" t="s">
        <v>290</v>
      </c>
      <c r="E72" s="109">
        <v>1</v>
      </c>
      <c r="F72" s="116" t="s">
        <v>291</v>
      </c>
      <c r="G72" s="28">
        <f>E72*380000</f>
        <v>380000</v>
      </c>
      <c r="H72" s="55" t="s">
        <v>292</v>
      </c>
    </row>
    <row r="73" spans="2:8" ht="30.75" customHeight="1">
      <c r="B73" s="113">
        <f t="shared" si="3"/>
        <v>70</v>
      </c>
      <c r="C73" s="18">
        <v>81</v>
      </c>
      <c r="D73" s="34" t="s">
        <v>293</v>
      </c>
      <c r="E73" s="109">
        <v>1</v>
      </c>
      <c r="F73" s="116" t="s">
        <v>294</v>
      </c>
      <c r="G73" s="28">
        <f>E73*630000</f>
        <v>630000</v>
      </c>
      <c r="H73" s="55" t="s">
        <v>292</v>
      </c>
    </row>
    <row r="74" spans="2:8" ht="30.75" customHeight="1">
      <c r="B74" s="113">
        <f t="shared" si="3"/>
        <v>71</v>
      </c>
      <c r="C74" s="18">
        <v>82</v>
      </c>
      <c r="D74" s="34" t="s">
        <v>295</v>
      </c>
      <c r="E74" s="109"/>
      <c r="F74" s="116" t="s">
        <v>296</v>
      </c>
      <c r="G74" s="28">
        <f>E74*480000</f>
        <v>0</v>
      </c>
      <c r="H74" s="55" t="s">
        <v>292</v>
      </c>
    </row>
    <row r="75" spans="2:8" ht="30.75" customHeight="1">
      <c r="B75" s="113">
        <f t="shared" si="3"/>
        <v>72</v>
      </c>
      <c r="C75" s="18">
        <v>83</v>
      </c>
      <c r="D75" s="34" t="s">
        <v>297</v>
      </c>
      <c r="E75" s="109"/>
      <c r="F75" s="116" t="s">
        <v>298</v>
      </c>
      <c r="G75" s="28">
        <f>E75*100000</f>
        <v>0</v>
      </c>
      <c r="H75" s="29" t="s">
        <v>299</v>
      </c>
    </row>
    <row r="76" spans="2:8" ht="30.75" customHeight="1">
      <c r="B76" s="113">
        <f t="shared" si="3"/>
        <v>73</v>
      </c>
      <c r="C76" s="18">
        <v>87</v>
      </c>
      <c r="D76" s="34" t="s">
        <v>300</v>
      </c>
      <c r="E76" s="109"/>
      <c r="F76" s="116" t="s">
        <v>301</v>
      </c>
      <c r="G76" s="28">
        <f>E76*270000</f>
        <v>0</v>
      </c>
      <c r="H76" s="55" t="s">
        <v>292</v>
      </c>
    </row>
    <row r="77" spans="2:8" ht="30.75" customHeight="1">
      <c r="B77" s="113">
        <f t="shared" si="3"/>
        <v>74</v>
      </c>
      <c r="C77" s="18">
        <v>88</v>
      </c>
      <c r="D77" s="34" t="s">
        <v>302</v>
      </c>
      <c r="E77" s="109"/>
      <c r="F77" s="116" t="s">
        <v>303</v>
      </c>
      <c r="G77" s="28">
        <f>E77*400000</f>
        <v>0</v>
      </c>
      <c r="H77" s="55" t="s">
        <v>292</v>
      </c>
    </row>
    <row r="78" spans="2:8" ht="30.75" customHeight="1">
      <c r="B78" s="113">
        <f t="shared" si="3"/>
        <v>75</v>
      </c>
      <c r="C78" s="18">
        <v>89</v>
      </c>
      <c r="D78" s="34" t="s">
        <v>304</v>
      </c>
      <c r="E78" s="109"/>
      <c r="F78" s="116" t="s">
        <v>305</v>
      </c>
      <c r="G78" s="28">
        <f>E78*350000</f>
        <v>0</v>
      </c>
      <c r="H78" s="29" t="s">
        <v>306</v>
      </c>
    </row>
    <row r="79" spans="2:8" ht="30.75" customHeight="1">
      <c r="B79" s="113">
        <f t="shared" si="3"/>
        <v>76</v>
      </c>
      <c r="C79" s="18">
        <v>92</v>
      </c>
      <c r="D79" s="36" t="s">
        <v>307</v>
      </c>
      <c r="E79" s="109"/>
      <c r="F79" s="116"/>
      <c r="G79" s="32"/>
      <c r="H79" s="29"/>
    </row>
    <row r="80" spans="2:8" ht="30.75" customHeight="1">
      <c r="B80" s="113">
        <f t="shared" si="3"/>
        <v>77</v>
      </c>
      <c r="C80" s="18" t="s">
        <v>207</v>
      </c>
      <c r="D80" s="30" t="s">
        <v>308</v>
      </c>
      <c r="E80" s="42"/>
      <c r="F80" s="121" t="s">
        <v>309</v>
      </c>
      <c r="G80" s="28">
        <f>IF(E79=1,400000,0)</f>
        <v>0</v>
      </c>
      <c r="H80" s="29" t="s">
        <v>310</v>
      </c>
    </row>
    <row r="81" spans="2:9" ht="30.75" customHeight="1">
      <c r="B81" s="113">
        <f t="shared" si="3"/>
        <v>78</v>
      </c>
      <c r="C81" s="18" t="s">
        <v>207</v>
      </c>
      <c r="D81" s="30" t="s">
        <v>311</v>
      </c>
      <c r="E81" s="42"/>
      <c r="F81" s="121" t="s">
        <v>309</v>
      </c>
      <c r="G81" s="28">
        <f>IF(E79=2,400000,0)</f>
        <v>0</v>
      </c>
      <c r="H81" s="29" t="s">
        <v>310</v>
      </c>
    </row>
    <row r="82" spans="2:9" ht="30.75" customHeight="1">
      <c r="B82" s="113">
        <f t="shared" si="3"/>
        <v>79</v>
      </c>
      <c r="C82" s="18" t="s">
        <v>207</v>
      </c>
      <c r="D82" s="30" t="s">
        <v>312</v>
      </c>
      <c r="E82" s="42"/>
      <c r="F82" s="121" t="s">
        <v>313</v>
      </c>
      <c r="G82" s="28">
        <f>IF(E79=3,270000,0)</f>
        <v>0</v>
      </c>
      <c r="H82" s="29" t="s">
        <v>310</v>
      </c>
    </row>
    <row r="83" spans="2:9" ht="30.75" customHeight="1">
      <c r="B83" s="113">
        <f t="shared" si="3"/>
        <v>80</v>
      </c>
      <c r="C83" s="18">
        <v>93</v>
      </c>
      <c r="D83" s="36" t="s">
        <v>314</v>
      </c>
      <c r="E83" s="109"/>
      <c r="F83" s="116"/>
      <c r="G83" s="32"/>
      <c r="H83" s="29"/>
    </row>
    <row r="84" spans="2:9" ht="30.75" customHeight="1">
      <c r="B84" s="113">
        <f t="shared" si="3"/>
        <v>81</v>
      </c>
      <c r="C84" s="18" t="s">
        <v>207</v>
      </c>
      <c r="D84" s="30" t="s">
        <v>315</v>
      </c>
      <c r="E84" s="32"/>
      <c r="F84" s="121" t="s">
        <v>313</v>
      </c>
      <c r="G84" s="28">
        <f>IF(E83=1,270000,0)</f>
        <v>0</v>
      </c>
      <c r="H84" s="29" t="s">
        <v>316</v>
      </c>
    </row>
    <row r="85" spans="2:9" ht="30.75" customHeight="1">
      <c r="B85" s="113">
        <f t="shared" si="3"/>
        <v>82</v>
      </c>
      <c r="C85" s="18" t="s">
        <v>207</v>
      </c>
      <c r="D85" s="30" t="s">
        <v>317</v>
      </c>
      <c r="E85" s="32"/>
      <c r="F85" s="121" t="s">
        <v>318</v>
      </c>
      <c r="G85" s="28">
        <f>IF(E83=2,350000,0)</f>
        <v>0</v>
      </c>
      <c r="H85" s="29" t="s">
        <v>316</v>
      </c>
    </row>
    <row r="86" spans="2:9" ht="30.75" customHeight="1">
      <c r="B86" s="113">
        <f t="shared" si="3"/>
        <v>83</v>
      </c>
      <c r="C86" s="18">
        <v>94</v>
      </c>
      <c r="D86" s="34" t="s">
        <v>319</v>
      </c>
      <c r="E86" s="109"/>
      <c r="F86" s="122"/>
      <c r="G86" s="42"/>
      <c r="H86" s="55"/>
    </row>
    <row r="87" spans="2:9" ht="30.75" customHeight="1">
      <c r="B87" s="113">
        <f t="shared" si="3"/>
        <v>84</v>
      </c>
      <c r="C87" s="18" t="s">
        <v>207</v>
      </c>
      <c r="D87" s="30" t="s">
        <v>320</v>
      </c>
      <c r="E87" s="32"/>
      <c r="F87" s="121" t="s">
        <v>313</v>
      </c>
      <c r="G87" s="39">
        <f>IF(E86=1,270000,0)</f>
        <v>0</v>
      </c>
      <c r="H87" s="102" t="s">
        <v>321</v>
      </c>
    </row>
    <row r="88" spans="2:9" ht="30.75" customHeight="1">
      <c r="B88" s="113">
        <f t="shared" si="3"/>
        <v>85</v>
      </c>
      <c r="C88" s="18" t="s">
        <v>207</v>
      </c>
      <c r="D88" s="34" t="s">
        <v>322</v>
      </c>
      <c r="E88" s="32"/>
      <c r="F88" s="123"/>
      <c r="G88" s="28">
        <f>IF(G27&gt;0,IF(G27&gt;25000000,0,IF(G27&gt;24500000,160000,IF(G27&gt;24000000,320000,480000))),0)</f>
        <v>480000</v>
      </c>
      <c r="H88" s="108" t="s">
        <v>323</v>
      </c>
    </row>
    <row r="89" spans="2:9" ht="30.75" customHeight="1">
      <c r="B89" s="113">
        <f t="shared" si="3"/>
        <v>86</v>
      </c>
      <c r="C89" s="18" t="s">
        <v>207</v>
      </c>
      <c r="D89" s="34" t="s">
        <v>324</v>
      </c>
      <c r="E89" s="32"/>
      <c r="F89" s="121"/>
      <c r="G89" s="103">
        <f>SUM(G58:G63,G65:G67,G69:G78,G80:G82,G84:G85,G87:G88)</f>
        <v>3203620</v>
      </c>
      <c r="H89" s="99"/>
    </row>
    <row r="90" spans="2:9" ht="30.75" customHeight="1">
      <c r="B90" s="113">
        <f t="shared" si="3"/>
        <v>87</v>
      </c>
      <c r="C90" s="138" t="s">
        <v>325</v>
      </c>
      <c r="D90" s="138"/>
      <c r="E90" s="138"/>
      <c r="F90" s="138"/>
      <c r="G90" s="138"/>
      <c r="H90" s="138"/>
    </row>
    <row r="91" spans="2:9" ht="42.6" customHeight="1">
      <c r="B91" s="113">
        <f t="shared" si="3"/>
        <v>88</v>
      </c>
      <c r="C91" s="18" t="s">
        <v>207</v>
      </c>
      <c r="D91" s="34" t="s">
        <v>326</v>
      </c>
      <c r="E91" s="42"/>
      <c r="F91" s="116" t="s">
        <v>327</v>
      </c>
      <c r="G91" s="28">
        <f>ROUNDDOWN(IF(G51&gt;=G89,G51-G89,0),-3)</f>
        <v>4031000</v>
      </c>
      <c r="H91" s="33" t="s">
        <v>328</v>
      </c>
      <c r="I91" s="35"/>
    </row>
    <row r="92" spans="2:9" ht="32.25" customHeight="1">
      <c r="B92" s="113">
        <f t="shared" si="3"/>
        <v>89</v>
      </c>
      <c r="C92" s="43" t="s">
        <v>207</v>
      </c>
      <c r="D92" s="44" t="s">
        <v>241</v>
      </c>
      <c r="E92" s="45"/>
      <c r="F92" s="124"/>
      <c r="G92" s="45">
        <f>MAX(IF(G91&gt;=1,0,G89-G51),0)</f>
        <v>0</v>
      </c>
      <c r="H92" s="46"/>
      <c r="I92" s="35"/>
    </row>
    <row r="93" spans="2:9" ht="42.6" customHeight="1">
      <c r="B93" s="113">
        <f t="shared" si="3"/>
        <v>90</v>
      </c>
      <c r="C93" s="18" t="s">
        <v>207</v>
      </c>
      <c r="D93" s="34" t="s">
        <v>329</v>
      </c>
      <c r="E93" s="42"/>
      <c r="F93" s="116" t="s">
        <v>327</v>
      </c>
      <c r="G93" s="28">
        <f>ROUNDDOWN(IF(G50&gt;=G92,G50-G92,0),-3)</f>
        <v>0</v>
      </c>
      <c r="H93" s="29" t="s">
        <v>330</v>
      </c>
      <c r="I93" s="35"/>
    </row>
    <row r="94" spans="2:9" ht="29.25" customHeight="1">
      <c r="B94" s="113">
        <f t="shared" si="3"/>
        <v>91</v>
      </c>
      <c r="C94" s="43" t="s">
        <v>207</v>
      </c>
      <c r="D94" s="58" t="s">
        <v>331</v>
      </c>
      <c r="E94" s="45"/>
      <c r="F94" s="124"/>
      <c r="G94" s="45">
        <f>MAX(IF(G93&gt;=1,0,G92-G50),0)</f>
        <v>0</v>
      </c>
      <c r="H94" s="46"/>
      <c r="I94" s="35"/>
    </row>
    <row r="95" spans="2:9" ht="42.6" customHeight="1">
      <c r="B95" s="113">
        <f t="shared" si="3"/>
        <v>92</v>
      </c>
      <c r="C95" s="18" t="s">
        <v>207</v>
      </c>
      <c r="D95" s="34" t="s">
        <v>332</v>
      </c>
      <c r="E95" s="42"/>
      <c r="F95" s="116" t="s">
        <v>327</v>
      </c>
      <c r="G95" s="28">
        <f>ROUNDDOWN(IF(G45&gt;=G94,G45-G94,0),-3)</f>
        <v>0</v>
      </c>
      <c r="H95" s="29" t="s">
        <v>333</v>
      </c>
      <c r="I95" s="35"/>
    </row>
    <row r="96" spans="2:9" ht="29.25" customHeight="1">
      <c r="B96" s="113">
        <f t="shared" si="3"/>
        <v>93</v>
      </c>
      <c r="C96" s="43" t="s">
        <v>207</v>
      </c>
      <c r="D96" s="58" t="s">
        <v>331</v>
      </c>
      <c r="E96" s="45"/>
      <c r="F96" s="124"/>
      <c r="G96" s="45">
        <f>MAX(IF(G95&gt;=1,0,G94-G45),0)</f>
        <v>0</v>
      </c>
      <c r="H96" s="46"/>
      <c r="I96" s="35"/>
    </row>
    <row r="97" spans="2:9" ht="42.6" customHeight="1">
      <c r="B97" s="113">
        <f t="shared" si="3"/>
        <v>94</v>
      </c>
      <c r="C97" s="18" t="s">
        <v>207</v>
      </c>
      <c r="D97" s="59" t="s">
        <v>334</v>
      </c>
      <c r="E97" s="42"/>
      <c r="F97" s="116" t="s">
        <v>327</v>
      </c>
      <c r="G97" s="28">
        <f>ROUNDDOWN(IF(G39&gt;=G96,G39-G96,0),-3)</f>
        <v>0</v>
      </c>
      <c r="H97" s="29" t="s">
        <v>335</v>
      </c>
      <c r="I97" s="35"/>
    </row>
    <row r="98" spans="2:9" ht="28.5" customHeight="1">
      <c r="B98" s="113">
        <f t="shared" si="3"/>
        <v>95</v>
      </c>
      <c r="C98" s="43" t="s">
        <v>207</v>
      </c>
      <c r="D98" s="58" t="s">
        <v>331</v>
      </c>
      <c r="E98" s="45"/>
      <c r="F98" s="124"/>
      <c r="G98" s="45">
        <f>MAX(IF(G97&gt;=1,0,G96-G39),0)</f>
        <v>0</v>
      </c>
      <c r="H98" s="46"/>
      <c r="I98" s="35"/>
    </row>
    <row r="99" spans="2:9" ht="42.6" customHeight="1">
      <c r="B99" s="113">
        <f t="shared" si="3"/>
        <v>96</v>
      </c>
      <c r="C99" s="18" t="s">
        <v>207</v>
      </c>
      <c r="D99" s="34" t="s">
        <v>336</v>
      </c>
      <c r="E99" s="42"/>
      <c r="F99" s="116" t="s">
        <v>327</v>
      </c>
      <c r="G99" s="28">
        <f>ROUNDDOWN(IF(G35&gt;=G98,G35-G98,0),-3)</f>
        <v>0</v>
      </c>
      <c r="H99" s="29" t="s">
        <v>337</v>
      </c>
      <c r="I99" s="35"/>
    </row>
    <row r="100" spans="2:9" ht="29.25" customHeight="1">
      <c r="B100" s="113">
        <f t="shared" si="3"/>
        <v>97</v>
      </c>
      <c r="C100" s="43" t="s">
        <v>207</v>
      </c>
      <c r="D100" s="58" t="s">
        <v>331</v>
      </c>
      <c r="E100" s="45"/>
      <c r="F100" s="124"/>
      <c r="G100" s="45">
        <f>MAX(IF(G99&gt;=1,0,G98-G35),0)</f>
        <v>0</v>
      </c>
      <c r="H100" s="46"/>
      <c r="I100" s="35"/>
    </row>
    <row r="101" spans="2:9" ht="42.6" customHeight="1">
      <c r="B101" s="113">
        <f t="shared" si="3"/>
        <v>98</v>
      </c>
      <c r="C101" s="18" t="s">
        <v>207</v>
      </c>
      <c r="D101" s="34" t="s">
        <v>338</v>
      </c>
      <c r="E101" s="42"/>
      <c r="F101" s="116" t="s">
        <v>327</v>
      </c>
      <c r="G101" s="28">
        <f>ROUNDDOWN(IF(G37&gt;=G100,G37-G100,0),-3)</f>
        <v>0</v>
      </c>
      <c r="H101" s="29" t="s">
        <v>339</v>
      </c>
      <c r="I101" s="35"/>
    </row>
    <row r="102" spans="2:9" ht="29.25" customHeight="1">
      <c r="B102" s="113">
        <f t="shared" si="3"/>
        <v>99</v>
      </c>
      <c r="C102" s="43" t="s">
        <v>207</v>
      </c>
      <c r="D102" s="60"/>
      <c r="E102" s="45"/>
      <c r="F102" s="124"/>
      <c r="G102" s="45">
        <f>MAX(IF(G101&gt;=1,0,G100-G37),0)</f>
        <v>0</v>
      </c>
      <c r="H102" s="46"/>
      <c r="I102" s="35"/>
    </row>
    <row r="103" spans="2:9" ht="42.6" customHeight="1">
      <c r="B103" s="113">
        <f t="shared" si="3"/>
        <v>100</v>
      </c>
      <c r="C103" s="18" t="s">
        <v>207</v>
      </c>
      <c r="D103" s="34" t="s">
        <v>340</v>
      </c>
      <c r="E103" s="42"/>
      <c r="F103" s="116" t="s">
        <v>327</v>
      </c>
      <c r="G103" s="28">
        <f>ROUNDDOWN(IF(G40&gt;=G102,G40-G102,0),-3)</f>
        <v>0</v>
      </c>
      <c r="H103" s="29" t="s">
        <v>341</v>
      </c>
      <c r="I103" s="35"/>
    </row>
    <row r="104" spans="2:9" ht="29.25" customHeight="1">
      <c r="B104" s="113">
        <f t="shared" si="3"/>
        <v>101</v>
      </c>
      <c r="C104" s="43" t="s">
        <v>207</v>
      </c>
      <c r="D104" s="60"/>
      <c r="E104" s="45"/>
      <c r="F104" s="124"/>
      <c r="G104" s="45">
        <f>MAX(IF(G103&gt;=1,0,G102-G40),0)</f>
        <v>0</v>
      </c>
      <c r="H104" s="46"/>
      <c r="I104" s="35"/>
    </row>
    <row r="105" spans="2:9" ht="42.6" customHeight="1">
      <c r="B105" s="113">
        <f t="shared" si="3"/>
        <v>102</v>
      </c>
      <c r="C105" s="18" t="s">
        <v>207</v>
      </c>
      <c r="D105" s="34" t="s">
        <v>342</v>
      </c>
      <c r="E105" s="42"/>
      <c r="F105" s="116" t="s">
        <v>327</v>
      </c>
      <c r="G105" s="28">
        <f>ROUNDDOWN(IF(G53&gt;=G104,G53-G104,0),-3)</f>
        <v>0</v>
      </c>
      <c r="H105" s="29" t="s">
        <v>343</v>
      </c>
      <c r="I105" s="35"/>
    </row>
    <row r="106" spans="2:9" ht="29.25" customHeight="1">
      <c r="B106" s="113">
        <f t="shared" si="3"/>
        <v>103</v>
      </c>
      <c r="C106" s="43" t="s">
        <v>207</v>
      </c>
      <c r="D106" s="60"/>
      <c r="E106" s="45"/>
      <c r="F106" s="124"/>
      <c r="G106" s="45">
        <f>MAX(IF(G105&gt;=1,0,G104-G53),0)</f>
        <v>0</v>
      </c>
      <c r="H106" s="46"/>
      <c r="I106" s="35"/>
    </row>
    <row r="107" spans="2:9" ht="42.6" customHeight="1">
      <c r="B107" s="113">
        <f t="shared" si="3"/>
        <v>104</v>
      </c>
      <c r="C107" s="18" t="s">
        <v>207</v>
      </c>
      <c r="D107" s="34" t="s">
        <v>344</v>
      </c>
      <c r="E107" s="42"/>
      <c r="F107" s="116" t="s">
        <v>327</v>
      </c>
      <c r="G107" s="28">
        <f>ROUNDDOWN(IF(G55&gt;=G106,G55-G106,0),-3)</f>
        <v>0</v>
      </c>
      <c r="H107" s="29" t="s">
        <v>345</v>
      </c>
      <c r="I107" s="35"/>
    </row>
    <row r="108" spans="2:9" ht="30.75" customHeight="1">
      <c r="B108" s="113">
        <f t="shared" si="3"/>
        <v>105</v>
      </c>
      <c r="C108" s="18" t="s">
        <v>346</v>
      </c>
      <c r="D108" s="36" t="s">
        <v>347</v>
      </c>
      <c r="E108" s="32"/>
      <c r="F108" s="116"/>
      <c r="G108" s="57">
        <f>SUM(G91,G107)</f>
        <v>4031000</v>
      </c>
      <c r="H108" s="29" t="s">
        <v>348</v>
      </c>
    </row>
    <row r="109" spans="2:9" ht="30.75" customHeight="1" thickBot="1">
      <c r="B109" s="113">
        <f t="shared" si="3"/>
        <v>106</v>
      </c>
      <c r="C109" s="18" t="s">
        <v>207</v>
      </c>
      <c r="D109" s="36" t="s">
        <v>349</v>
      </c>
      <c r="E109" s="32"/>
      <c r="F109" s="116"/>
      <c r="G109" s="101">
        <f>G105/5</f>
        <v>0</v>
      </c>
      <c r="H109" s="102" t="s">
        <v>350</v>
      </c>
    </row>
    <row r="110" spans="2:9" ht="87" customHeight="1">
      <c r="B110" s="113">
        <f t="shared" si="3"/>
        <v>107</v>
      </c>
      <c r="C110" s="18" t="s">
        <v>207</v>
      </c>
      <c r="D110" s="36" t="s">
        <v>351</v>
      </c>
      <c r="E110" s="32"/>
      <c r="F110" s="125"/>
      <c r="G110" s="105">
        <f>MAX(ROUNDDOWN(IF((E20+E21-G44)&lt;G95,(E20+E21-G44),G95),-3),0)</f>
        <v>0</v>
      </c>
      <c r="H110" s="104" t="s">
        <v>352</v>
      </c>
      <c r="I110" s="35"/>
    </row>
    <row r="111" spans="2:9" ht="46.9" customHeight="1">
      <c r="B111" s="113">
        <f t="shared" si="3"/>
        <v>108</v>
      </c>
      <c r="C111" s="18" t="s">
        <v>207</v>
      </c>
      <c r="D111" s="36" t="s">
        <v>353</v>
      </c>
      <c r="E111" s="32"/>
      <c r="F111" s="125"/>
      <c r="G111" s="106">
        <f>MAX(SUM(ROUNDDOWN(IF((E17-G49)&lt;G93,(E17-G49),G93),-3),G95-G110,G97,G99,G101,G103),0)</f>
        <v>0</v>
      </c>
      <c r="H111" s="104" t="s">
        <v>354</v>
      </c>
      <c r="I111" s="35"/>
    </row>
    <row r="112" spans="2:9" ht="30.75" customHeight="1" thickBot="1">
      <c r="B112" s="113">
        <f t="shared" si="3"/>
        <v>109</v>
      </c>
      <c r="C112" s="18" t="s">
        <v>207</v>
      </c>
      <c r="D112" s="36" t="s">
        <v>355</v>
      </c>
      <c r="E112" s="32"/>
      <c r="F112" s="125"/>
      <c r="G112" s="107">
        <f>ROUNDDOWN(G93-MAX(IF((E17-G49)&lt;G93,(E17-G49),G93),0),-3)</f>
        <v>0</v>
      </c>
      <c r="H112" s="104" t="s">
        <v>356</v>
      </c>
    </row>
    <row r="113" spans="2:9" ht="29.25" customHeight="1">
      <c r="B113" s="113">
        <f t="shared" si="3"/>
        <v>110</v>
      </c>
      <c r="C113" s="138" t="s">
        <v>357</v>
      </c>
      <c r="D113" s="138"/>
      <c r="E113" s="138"/>
      <c r="F113" s="138"/>
      <c r="G113" s="141"/>
      <c r="H113" s="141"/>
    </row>
    <row r="114" spans="2:9" ht="30.75" customHeight="1">
      <c r="B114" s="113">
        <f t="shared" si="3"/>
        <v>111</v>
      </c>
      <c r="C114" s="18" t="s">
        <v>207</v>
      </c>
      <c r="D114" s="36" t="s">
        <v>358</v>
      </c>
      <c r="E114" s="32"/>
      <c r="F114" s="126"/>
      <c r="G114" s="28">
        <f>1*(IF(G108&lt;1950000,G108*5%,IF(G108&lt;3300000,G108*0.1-97500,IF(G108&lt;6950000,G108*0.2-427500,IF(G108&lt;9000000,G108*0.23-636000,IF(G108&lt;18000000,G108*0.33-1536000,IF(G108&lt;40000000,G108*0.4-2796000,G108*0.45-4796000)))))))</f>
        <v>378700</v>
      </c>
      <c r="H114" s="29"/>
    </row>
    <row r="115" spans="2:9" ht="27">
      <c r="B115" s="113">
        <f t="shared" si="3"/>
        <v>112</v>
      </c>
      <c r="C115" s="18" t="s">
        <v>207</v>
      </c>
      <c r="D115" s="36" t="s">
        <v>359</v>
      </c>
      <c r="E115" s="32"/>
      <c r="F115" s="126"/>
      <c r="G115" s="28">
        <f>1*(IF(G109&lt;1950000,G109*5%,IF(G109&lt;3300000,G109*0.1-97500,IF(G109&lt;6950000,G109*0.2-427500,IF(G109&lt;9000000,G109*0.23-636000,IF(G109&lt;18000000,G109*0.33-1536000,IF(G109&lt;40000000,G109*0.4-2796000,G109*0.45-4796000)))))))*5</f>
        <v>0</v>
      </c>
      <c r="H115" s="29"/>
    </row>
    <row r="116" spans="2:9" ht="35.25" customHeight="1">
      <c r="B116" s="113">
        <f t="shared" si="3"/>
        <v>113</v>
      </c>
      <c r="C116" s="18" t="s">
        <v>207</v>
      </c>
      <c r="D116" s="36" t="s">
        <v>360</v>
      </c>
      <c r="E116" s="32"/>
      <c r="F116" s="126"/>
      <c r="G116" s="28">
        <f>1*G110*0.1</f>
        <v>0</v>
      </c>
      <c r="H116" s="29"/>
    </row>
    <row r="117" spans="2:9" ht="30.75" customHeight="1">
      <c r="B117" s="113">
        <f t="shared" si="3"/>
        <v>114</v>
      </c>
      <c r="C117" s="18" t="s">
        <v>207</v>
      </c>
      <c r="D117" s="36" t="s">
        <v>361</v>
      </c>
      <c r="E117" s="32"/>
      <c r="F117" s="126"/>
      <c r="G117" s="28">
        <f>1*G111*0.15</f>
        <v>0</v>
      </c>
      <c r="H117" s="29"/>
    </row>
    <row r="118" spans="2:9" ht="30.75" customHeight="1">
      <c r="B118" s="113">
        <f t="shared" si="3"/>
        <v>115</v>
      </c>
      <c r="C118" s="18" t="s">
        <v>207</v>
      </c>
      <c r="D118" s="36" t="s">
        <v>362</v>
      </c>
      <c r="E118" s="32"/>
      <c r="F118" s="126"/>
      <c r="G118" s="28">
        <f>1*G112*0.3</f>
        <v>0</v>
      </c>
      <c r="H118" s="29"/>
    </row>
    <row r="119" spans="2:9" ht="30.75" customHeight="1">
      <c r="B119" s="113">
        <f t="shared" si="3"/>
        <v>116</v>
      </c>
      <c r="C119" s="18">
        <v>26</v>
      </c>
      <c r="D119" s="36" t="s">
        <v>363</v>
      </c>
      <c r="E119" s="26">
        <f>E11</f>
        <v>0</v>
      </c>
      <c r="F119" s="116" t="s">
        <v>364</v>
      </c>
      <c r="G119" s="28">
        <f>ROUNDUP(E119*0.1,0)</f>
        <v>0</v>
      </c>
      <c r="H119" s="29" t="s">
        <v>365</v>
      </c>
    </row>
    <row r="120" spans="2:9" ht="35.25" customHeight="1">
      <c r="B120" s="113">
        <f t="shared" si="3"/>
        <v>117</v>
      </c>
      <c r="C120" s="18">
        <v>103</v>
      </c>
      <c r="D120" s="36" t="s">
        <v>366</v>
      </c>
      <c r="E120" s="109"/>
      <c r="F120" s="122"/>
      <c r="G120" s="61"/>
      <c r="H120" s="29"/>
    </row>
    <row r="121" spans="2:9" ht="60" customHeight="1">
      <c r="B121" s="113">
        <f>B120+1</f>
        <v>118</v>
      </c>
      <c r="C121" s="18" t="s">
        <v>207</v>
      </c>
      <c r="D121" s="36" t="s">
        <v>367</v>
      </c>
      <c r="E121" s="32"/>
      <c r="F121" s="127"/>
      <c r="G121" s="57">
        <f>IF(SUM(G114:G118)-G119&gt;=0,IF(E120&gt;=1,0,SUM(G114:G118)-G119),0)</f>
        <v>378700</v>
      </c>
      <c r="H121" s="62" t="s">
        <v>368</v>
      </c>
      <c r="I121" s="35"/>
    </row>
    <row r="122" spans="2:9">
      <c r="H122" s="63"/>
    </row>
    <row r="123" spans="2:9">
      <c r="H123" s="63"/>
    </row>
    <row r="124" spans="2:9" ht="31.5" customHeight="1">
      <c r="C124" s="64" t="s">
        <v>369</v>
      </c>
      <c r="D124" s="64"/>
      <c r="E124" s="64"/>
      <c r="F124" s="128"/>
      <c r="G124" s="64"/>
      <c r="H124" s="65"/>
    </row>
    <row r="125" spans="2:9" ht="42.75" customHeight="1" thickBot="1">
      <c r="B125" s="66" t="s">
        <v>200</v>
      </c>
      <c r="C125" s="19" t="s">
        <v>201</v>
      </c>
      <c r="D125" s="20" t="s">
        <v>177</v>
      </c>
      <c r="E125" s="19" t="s">
        <v>370</v>
      </c>
      <c r="F125" s="115" t="s">
        <v>371</v>
      </c>
      <c r="G125" s="67" t="s">
        <v>372</v>
      </c>
      <c r="H125" s="23" t="s">
        <v>205</v>
      </c>
    </row>
    <row r="126" spans="2:9" ht="39.950000000000003" customHeight="1" thickTop="1" thickBot="1">
      <c r="B126" s="18">
        <v>201</v>
      </c>
      <c r="C126" s="18" t="s">
        <v>207</v>
      </c>
      <c r="D126" s="36" t="s">
        <v>530</v>
      </c>
      <c r="E126" s="129">
        <v>436800</v>
      </c>
      <c r="F126" s="125" t="s">
        <v>216</v>
      </c>
      <c r="G126" s="68">
        <f>E126</f>
        <v>436800</v>
      </c>
      <c r="H126" s="69"/>
    </row>
    <row r="127" spans="2:9" ht="39.950000000000003" hidden="1" customHeight="1" thickTop="1">
      <c r="B127" s="18">
        <v>202</v>
      </c>
      <c r="C127" s="18">
        <v>124</v>
      </c>
      <c r="D127" s="30" t="s">
        <v>160</v>
      </c>
      <c r="E127" s="111">
        <v>238000</v>
      </c>
      <c r="F127" s="116"/>
      <c r="G127" s="70"/>
      <c r="H127" s="71"/>
    </row>
    <row r="128" spans="2:9" ht="39.950000000000003" hidden="1" customHeight="1" thickBot="1">
      <c r="B128" s="18">
        <v>203</v>
      </c>
      <c r="C128" s="18">
        <v>127</v>
      </c>
      <c r="D128" s="30" t="s">
        <v>162</v>
      </c>
      <c r="E128" s="111">
        <v>158700</v>
      </c>
      <c r="F128" s="116"/>
      <c r="G128" s="72"/>
      <c r="H128" s="71"/>
    </row>
    <row r="129" spans="2:9" ht="39.950000000000003" customHeight="1" thickTop="1" thickBot="1">
      <c r="B129" s="18">
        <v>204</v>
      </c>
      <c r="C129" s="18" t="s">
        <v>207</v>
      </c>
      <c r="D129" s="36" t="s">
        <v>373</v>
      </c>
      <c r="E129" s="73">
        <f>SUM(IF(OR(E68=1,E68=2),1,0),E72:E74,E130)-E140</f>
        <v>3</v>
      </c>
      <c r="F129" s="125" t="s">
        <v>216</v>
      </c>
      <c r="G129" s="74">
        <f>E129</f>
        <v>3</v>
      </c>
      <c r="H129" s="62" t="s">
        <v>374</v>
      </c>
      <c r="I129" s="75"/>
    </row>
    <row r="130" spans="2:9" ht="39.950000000000003" customHeight="1" thickTop="1" thickBot="1">
      <c r="B130" s="18">
        <v>205</v>
      </c>
      <c r="C130" s="18">
        <v>84</v>
      </c>
      <c r="D130" s="30" t="s">
        <v>375</v>
      </c>
      <c r="E130" s="112"/>
      <c r="F130" s="116"/>
      <c r="G130" s="76"/>
      <c r="H130" s="33"/>
      <c r="I130" s="2"/>
    </row>
    <row r="131" spans="2:9" ht="39.950000000000003" customHeight="1" thickTop="1" thickBot="1">
      <c r="B131" s="18">
        <v>206</v>
      </c>
      <c r="C131" s="18" t="s">
        <v>207</v>
      </c>
      <c r="D131" s="34" t="s">
        <v>376</v>
      </c>
      <c r="E131" s="73">
        <f>E129+1</f>
        <v>4</v>
      </c>
      <c r="F131" s="125" t="s">
        <v>377</v>
      </c>
      <c r="G131" s="74">
        <f>E131*10000</f>
        <v>40000</v>
      </c>
      <c r="H131" s="62" t="s">
        <v>378</v>
      </c>
    </row>
    <row r="132" spans="2:9" ht="46.15" customHeight="1" thickTop="1" thickBot="1">
      <c r="B132" s="18">
        <v>207</v>
      </c>
      <c r="C132" s="18" t="s">
        <v>207</v>
      </c>
      <c r="D132" s="34" t="s">
        <v>379</v>
      </c>
      <c r="E132" s="26"/>
      <c r="F132" s="125"/>
      <c r="G132" s="77">
        <f>IF(E139&gt;18050000,0,IF(G131-G126&gt;0,G131-G126,0))</f>
        <v>0</v>
      </c>
      <c r="H132" s="62" t="s">
        <v>380</v>
      </c>
    </row>
    <row r="133" spans="2:9" ht="39.950000000000003" customHeight="1" thickTop="1" thickBot="1">
      <c r="B133" s="18">
        <v>208</v>
      </c>
      <c r="C133" s="18" t="s">
        <v>207</v>
      </c>
      <c r="D133" s="34" t="s">
        <v>381</v>
      </c>
      <c r="E133" s="73">
        <f>IF(E141="",G121,E141)</f>
        <v>378700</v>
      </c>
      <c r="F133" s="125" t="s">
        <v>216</v>
      </c>
      <c r="G133" s="74">
        <f>E133</f>
        <v>378700</v>
      </c>
      <c r="H133" s="62" t="s">
        <v>382</v>
      </c>
    </row>
    <row r="134" spans="2:9" ht="60.6" customHeight="1" thickTop="1" thickBot="1">
      <c r="B134" s="18">
        <v>209</v>
      </c>
      <c r="C134" s="18" t="s">
        <v>207</v>
      </c>
      <c r="D134" s="36" t="s">
        <v>383</v>
      </c>
      <c r="E134" s="78">
        <f>IF(E142="",E129,E142-E140)</f>
        <v>3</v>
      </c>
      <c r="F134" s="125" t="s">
        <v>216</v>
      </c>
      <c r="G134" s="74">
        <f>E134</f>
        <v>3</v>
      </c>
      <c r="H134" s="62" t="s">
        <v>384</v>
      </c>
    </row>
    <row r="135" spans="2:9" ht="39.950000000000003" customHeight="1" thickTop="1" thickBot="1">
      <c r="B135" s="18">
        <v>210</v>
      </c>
      <c r="C135" s="18" t="s">
        <v>207</v>
      </c>
      <c r="D135" s="34" t="s">
        <v>385</v>
      </c>
      <c r="E135" s="73">
        <f>E134+1</f>
        <v>4</v>
      </c>
      <c r="F135" s="125" t="s">
        <v>386</v>
      </c>
      <c r="G135" s="74">
        <f>E135*30000</f>
        <v>120000</v>
      </c>
      <c r="H135" s="62" t="s">
        <v>387</v>
      </c>
    </row>
    <row r="136" spans="2:9" ht="73.150000000000006" customHeight="1" thickTop="1" thickBot="1">
      <c r="B136" s="18">
        <v>211</v>
      </c>
      <c r="C136" s="18" t="s">
        <v>207</v>
      </c>
      <c r="D136" s="34" t="s">
        <v>388</v>
      </c>
      <c r="E136" s="26"/>
      <c r="F136" s="125"/>
      <c r="G136" s="74">
        <f>IF(E143&lt;&gt;"",IF(E143&gt;18050000,0,IF(G135-G133&gt;0,G135-G133,0)),IF(G27&lt;&gt;"",IF(G27&gt;18050000,0,IF(G135-G133&gt;0,G135-G133,0)),IF(E139&gt;18050000,0,IF(G135-G133&gt;0,G135-G133,0))))</f>
        <v>0</v>
      </c>
      <c r="H136" s="62" t="s">
        <v>389</v>
      </c>
    </row>
    <row r="137" spans="2:9" ht="39.950000000000003" customHeight="1" thickTop="1" thickBot="1">
      <c r="B137" s="18">
        <v>212</v>
      </c>
      <c r="C137" s="18" t="s">
        <v>207</v>
      </c>
      <c r="D137" s="34" t="s">
        <v>390</v>
      </c>
      <c r="E137" s="26"/>
      <c r="F137" s="125"/>
      <c r="G137" s="74">
        <f>IF(AND(G126=0,G133=0),0,G132+G136)</f>
        <v>0</v>
      </c>
      <c r="H137" s="62" t="s">
        <v>391</v>
      </c>
    </row>
    <row r="138" spans="2:9" ht="39.950000000000003" customHeight="1" thickTop="1" thickBot="1">
      <c r="B138" s="18">
        <v>213</v>
      </c>
      <c r="C138" s="18" t="s">
        <v>207</v>
      </c>
      <c r="D138" s="34" t="s">
        <v>392</v>
      </c>
      <c r="E138" s="26"/>
      <c r="F138" s="125" t="s">
        <v>393</v>
      </c>
      <c r="G138" s="74">
        <f>ROUNDUP(G137,-4)</f>
        <v>0</v>
      </c>
      <c r="H138" s="79" t="s">
        <v>394</v>
      </c>
    </row>
    <row r="139" spans="2:9" ht="39.950000000000003" customHeight="1" thickTop="1">
      <c r="B139" s="18">
        <v>214</v>
      </c>
      <c r="C139" s="18">
        <v>4</v>
      </c>
      <c r="D139" s="34" t="s">
        <v>395</v>
      </c>
      <c r="E139" s="112">
        <v>7234760</v>
      </c>
      <c r="F139" s="116"/>
      <c r="G139" s="80"/>
      <c r="H139" s="33" t="s">
        <v>396</v>
      </c>
    </row>
    <row r="140" spans="2:9" ht="52.9" customHeight="1">
      <c r="B140" s="18">
        <v>215</v>
      </c>
      <c r="C140" s="18" t="s">
        <v>397</v>
      </c>
      <c r="D140" s="36" t="s">
        <v>398</v>
      </c>
      <c r="E140" s="112"/>
      <c r="F140" s="116"/>
      <c r="G140" s="32"/>
      <c r="H140" s="33" t="s">
        <v>399</v>
      </c>
    </row>
    <row r="141" spans="2:9" ht="39.950000000000003" customHeight="1">
      <c r="B141" s="18">
        <v>216</v>
      </c>
      <c r="C141" s="18" t="s">
        <v>397</v>
      </c>
      <c r="D141" s="59" t="s">
        <v>400</v>
      </c>
      <c r="E141" s="112"/>
      <c r="F141" s="116"/>
      <c r="G141" s="32"/>
      <c r="H141" s="33" t="s">
        <v>401</v>
      </c>
    </row>
    <row r="142" spans="2:9" ht="50.45" customHeight="1">
      <c r="B142" s="18">
        <v>217</v>
      </c>
      <c r="C142" s="18" t="s">
        <v>397</v>
      </c>
      <c r="D142" s="36" t="s">
        <v>402</v>
      </c>
      <c r="E142" s="112"/>
      <c r="F142" s="116"/>
      <c r="G142" s="32"/>
      <c r="H142" s="33" t="s">
        <v>403</v>
      </c>
      <c r="I142" s="35"/>
    </row>
    <row r="143" spans="2:9" ht="39.950000000000003" customHeight="1">
      <c r="B143" s="18">
        <v>218</v>
      </c>
      <c r="C143" s="18" t="s">
        <v>397</v>
      </c>
      <c r="D143" s="34" t="s">
        <v>404</v>
      </c>
      <c r="E143" s="112"/>
      <c r="F143" s="116"/>
      <c r="G143" s="32"/>
      <c r="H143" s="33" t="s">
        <v>405</v>
      </c>
    </row>
  </sheetData>
  <sheetProtection algorithmName="SHA-512" hashValue="1f+8tdKhL6jHT169d8GCbNA82X5O8rdL6H2LJ/o2Fa0c5TuPhkB3bikBN5fUBIg4PUhTMh6o30QHw9UwGpszbQ==" saltValue="BxOaLjt2H2nVagtriU2nVw==" spinCount="100000" sheet="1" objects="1" scenarios="1" selectLockedCells="1" selectUnlockedCells="1"/>
  <mergeCells count="5">
    <mergeCell ref="C4:H4"/>
    <mergeCell ref="C57:H57"/>
    <mergeCell ref="H64:H67"/>
    <mergeCell ref="C90:H90"/>
    <mergeCell ref="C113:H113"/>
  </mergeCells>
  <phoneticPr fontId="1"/>
  <dataValidations count="1">
    <dataValidation type="list" allowBlank="1" showInputMessage="1" showErrorMessage="1" sqref="E68">
      <formula1>"1,2,3"</formula1>
    </dataValidation>
  </dataValidations>
  <pageMargins left="0.7" right="0.7" top="0.75" bottom="0.75" header="0.3" footer="0.3"/>
  <pageSetup paperSize="9" scale="47" fitToHeight="0" orientation="portrait" r:id="rId1"/>
  <rowBreaks count="1" manualBreakCount="1">
    <brk id="123" min="1" max="7"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I143"/>
  <sheetViews>
    <sheetView showGridLines="0" zoomScale="70" zoomScaleNormal="70" zoomScaleSheetLayoutView="100" workbookViewId="0">
      <pane xSplit="2" ySplit="3" topLeftCell="C4" activePane="bottomRight" state="frozen"/>
      <selection activeCell="E129" sqref="E129"/>
      <selection pane="topRight" activeCell="E129" sqref="E129"/>
      <selection pane="bottomLeft" activeCell="E129" sqref="E129"/>
      <selection pane="bottomRight" activeCell="F9" sqref="F9"/>
    </sheetView>
  </sheetViews>
  <sheetFormatPr defaultColWidth="9" defaultRowHeight="13.5"/>
  <cols>
    <col min="1" max="1" width="5.25" style="81" customWidth="1"/>
    <col min="2" max="2" width="5.25" style="15" customWidth="1"/>
    <col min="3" max="3" width="13.375" style="13" customWidth="1"/>
    <col min="4" max="4" width="40" style="14" customWidth="1"/>
    <col min="5" max="5" width="21.875" style="15" customWidth="1"/>
    <col min="6" max="6" width="21.875" style="114" customWidth="1"/>
    <col min="7" max="7" width="21.875" style="15" customWidth="1"/>
    <col min="8" max="8" width="45.375" style="16" customWidth="1"/>
    <col min="9" max="16384" width="9" style="15"/>
  </cols>
  <sheetData>
    <row r="1" spans="2:9" ht="24">
      <c r="B1" s="12" t="s">
        <v>198</v>
      </c>
    </row>
    <row r="2" spans="2:9" ht="36" customHeight="1">
      <c r="E2" s="17" t="s">
        <v>199</v>
      </c>
    </row>
    <row r="3" spans="2:9" ht="42.75" customHeight="1">
      <c r="B3" s="113" t="s">
        <v>200</v>
      </c>
      <c r="C3" s="19" t="s">
        <v>201</v>
      </c>
      <c r="D3" s="20" t="s">
        <v>177</v>
      </c>
      <c r="E3" s="21" t="s">
        <v>202</v>
      </c>
      <c r="F3" s="115" t="s">
        <v>203</v>
      </c>
      <c r="G3" s="22" t="s">
        <v>204</v>
      </c>
      <c r="H3" s="23" t="s">
        <v>205</v>
      </c>
    </row>
    <row r="4" spans="2:9" ht="30.75" customHeight="1">
      <c r="B4" s="113">
        <v>1</v>
      </c>
      <c r="C4" s="138" t="s">
        <v>206</v>
      </c>
      <c r="D4" s="138"/>
      <c r="E4" s="138"/>
      <c r="F4" s="138"/>
      <c r="G4" s="138"/>
      <c r="H4" s="138"/>
    </row>
    <row r="5" spans="2:9" ht="49.15" customHeight="1">
      <c r="B5" s="113">
        <f>B4+1</f>
        <v>2</v>
      </c>
      <c r="C5" s="24" t="s">
        <v>207</v>
      </c>
      <c r="D5" s="25" t="s">
        <v>208</v>
      </c>
      <c r="E5" s="26"/>
      <c r="F5" s="116"/>
      <c r="G5" s="28">
        <f>IF(SUM(E6:E11,G12,G13)&gt;=0,SUM(E6:E11,G12,G13),0)</f>
        <v>452099</v>
      </c>
      <c r="H5" s="29" t="s">
        <v>209</v>
      </c>
    </row>
    <row r="6" spans="2:9" ht="30.75" customHeight="1">
      <c r="B6" s="113">
        <f t="shared" ref="B6:B69" si="0">B5+1</f>
        <v>3</v>
      </c>
      <c r="C6" s="24">
        <v>8</v>
      </c>
      <c r="D6" s="30" t="s">
        <v>210</v>
      </c>
      <c r="E6" s="109">
        <v>452099</v>
      </c>
      <c r="F6" s="116"/>
      <c r="G6" s="32"/>
      <c r="H6" s="29"/>
    </row>
    <row r="7" spans="2:9" ht="30.75" customHeight="1">
      <c r="B7" s="113">
        <f t="shared" si="0"/>
        <v>4</v>
      </c>
      <c r="C7" s="24">
        <v>14</v>
      </c>
      <c r="D7" s="30" t="s">
        <v>211</v>
      </c>
      <c r="E7" s="109"/>
      <c r="F7" s="116"/>
      <c r="G7" s="32"/>
      <c r="H7" s="33"/>
    </row>
    <row r="8" spans="2:9" ht="30.75" customHeight="1">
      <c r="B8" s="113">
        <f t="shared" si="0"/>
        <v>5</v>
      </c>
      <c r="C8" s="24">
        <v>19</v>
      </c>
      <c r="D8" s="30" t="s">
        <v>63</v>
      </c>
      <c r="E8" s="109"/>
      <c r="F8" s="116"/>
      <c r="G8" s="32"/>
      <c r="H8" s="33"/>
    </row>
    <row r="9" spans="2:9" ht="30.75" customHeight="1">
      <c r="B9" s="113">
        <f t="shared" si="0"/>
        <v>6</v>
      </c>
      <c r="C9" s="24">
        <v>24</v>
      </c>
      <c r="D9" s="30" t="s">
        <v>65</v>
      </c>
      <c r="E9" s="109"/>
      <c r="F9" s="116"/>
      <c r="G9" s="32"/>
      <c r="H9" s="33"/>
    </row>
    <row r="10" spans="2:9" ht="30.75" customHeight="1">
      <c r="B10" s="113">
        <f t="shared" si="0"/>
        <v>7</v>
      </c>
      <c r="C10" s="24">
        <v>25</v>
      </c>
      <c r="D10" s="30" t="s">
        <v>67</v>
      </c>
      <c r="E10" s="109"/>
      <c r="F10" s="116"/>
      <c r="G10" s="32"/>
      <c r="H10" s="33"/>
    </row>
    <row r="11" spans="2:9" ht="30.75" customHeight="1">
      <c r="B11" s="113">
        <f t="shared" si="0"/>
        <v>8</v>
      </c>
      <c r="C11" s="24">
        <v>26</v>
      </c>
      <c r="D11" s="30" t="s">
        <v>69</v>
      </c>
      <c r="E11" s="109"/>
      <c r="F11" s="116"/>
      <c r="G11" s="32"/>
      <c r="H11" s="33"/>
    </row>
    <row r="12" spans="2:9" ht="54.6" customHeight="1">
      <c r="B12" s="113">
        <f t="shared" si="0"/>
        <v>9</v>
      </c>
      <c r="C12" s="24">
        <v>27</v>
      </c>
      <c r="D12" s="30" t="s">
        <v>71</v>
      </c>
      <c r="E12" s="109"/>
      <c r="F12" s="116" t="s">
        <v>212</v>
      </c>
      <c r="G12" s="28">
        <f>ROUNDDOWN(E12/2,0)</f>
        <v>0</v>
      </c>
      <c r="H12" s="8" t="s">
        <v>213</v>
      </c>
      <c r="I12" s="35"/>
    </row>
    <row r="13" spans="2:9" ht="30.75" customHeight="1">
      <c r="B13" s="113">
        <f t="shared" si="0"/>
        <v>10</v>
      </c>
      <c r="C13" s="24">
        <v>33</v>
      </c>
      <c r="D13" s="30" t="s">
        <v>73</v>
      </c>
      <c r="E13" s="109"/>
      <c r="F13" s="116" t="s">
        <v>212</v>
      </c>
      <c r="G13" s="28">
        <f>ROUNDDOWN(E13/2,0)</f>
        <v>0</v>
      </c>
      <c r="H13" s="8" t="s">
        <v>214</v>
      </c>
      <c r="I13" s="35"/>
    </row>
    <row r="14" spans="2:9" ht="30.75" customHeight="1">
      <c r="B14" s="113">
        <f t="shared" si="0"/>
        <v>11</v>
      </c>
      <c r="C14" s="18">
        <v>55</v>
      </c>
      <c r="D14" s="34" t="s">
        <v>215</v>
      </c>
      <c r="E14" s="109"/>
      <c r="F14" s="116" t="s">
        <v>216</v>
      </c>
      <c r="G14" s="28">
        <f>IF(E14&gt;=0,E14,0)</f>
        <v>0</v>
      </c>
      <c r="H14" s="8" t="s">
        <v>217</v>
      </c>
    </row>
    <row r="15" spans="2:9" ht="40.9" customHeight="1">
      <c r="B15" s="113">
        <f t="shared" si="0"/>
        <v>12</v>
      </c>
      <c r="C15" s="18" t="s">
        <v>207</v>
      </c>
      <c r="D15" s="34" t="s">
        <v>218</v>
      </c>
      <c r="E15" s="32">
        <f>SUM(E16,E17)</f>
        <v>0</v>
      </c>
      <c r="F15" s="116" t="s">
        <v>216</v>
      </c>
      <c r="G15" s="28">
        <f>IF(E15&gt;=0,E15,0)</f>
        <v>0</v>
      </c>
      <c r="H15" s="8" t="s">
        <v>219</v>
      </c>
      <c r="I15" s="35"/>
    </row>
    <row r="16" spans="2:9" ht="30.75" customHeight="1">
      <c r="B16" s="113">
        <f t="shared" si="0"/>
        <v>13</v>
      </c>
      <c r="C16" s="18">
        <v>47</v>
      </c>
      <c r="D16" s="30" t="s">
        <v>77</v>
      </c>
      <c r="E16" s="109"/>
      <c r="F16" s="116"/>
      <c r="G16" s="32"/>
      <c r="H16" s="8"/>
    </row>
    <row r="17" spans="2:9" ht="30.75" customHeight="1">
      <c r="B17" s="113">
        <f t="shared" si="0"/>
        <v>14</v>
      </c>
      <c r="C17" s="18">
        <v>49</v>
      </c>
      <c r="D17" s="30" t="s">
        <v>220</v>
      </c>
      <c r="E17" s="109"/>
      <c r="F17" s="116"/>
      <c r="G17" s="32"/>
      <c r="H17" s="8"/>
    </row>
    <row r="18" spans="2:9" ht="55.9" customHeight="1">
      <c r="B18" s="113">
        <f t="shared" si="0"/>
        <v>15</v>
      </c>
      <c r="C18" s="18" t="s">
        <v>207</v>
      </c>
      <c r="D18" s="34" t="s">
        <v>221</v>
      </c>
      <c r="E18" s="32">
        <f>SUM(E19,E20,E21)</f>
        <v>0</v>
      </c>
      <c r="F18" s="116" t="s">
        <v>216</v>
      </c>
      <c r="G18" s="28">
        <f>IF(E18&gt;=0,E18,0)</f>
        <v>0</v>
      </c>
      <c r="H18" s="8" t="s">
        <v>222</v>
      </c>
      <c r="I18" s="35"/>
    </row>
    <row r="19" spans="2:9" ht="30.75" customHeight="1">
      <c r="B19" s="113">
        <f t="shared" si="0"/>
        <v>16</v>
      </c>
      <c r="C19" s="18">
        <v>40</v>
      </c>
      <c r="D19" s="30" t="s">
        <v>81</v>
      </c>
      <c r="E19" s="109"/>
      <c r="F19" s="116"/>
      <c r="G19" s="32"/>
      <c r="H19" s="33"/>
    </row>
    <row r="20" spans="2:9" ht="30.75" customHeight="1">
      <c r="B20" s="113">
        <f t="shared" si="0"/>
        <v>17</v>
      </c>
      <c r="C20" s="18">
        <v>42</v>
      </c>
      <c r="D20" s="30" t="s">
        <v>223</v>
      </c>
      <c r="E20" s="109"/>
      <c r="F20" s="116"/>
      <c r="G20" s="32"/>
      <c r="H20" s="33"/>
    </row>
    <row r="21" spans="2:9" ht="30.75" customHeight="1">
      <c r="B21" s="113">
        <f t="shared" si="0"/>
        <v>18</v>
      </c>
      <c r="C21" s="18">
        <v>43</v>
      </c>
      <c r="D21" s="30" t="s">
        <v>224</v>
      </c>
      <c r="E21" s="109"/>
      <c r="F21" s="116"/>
      <c r="G21" s="32"/>
      <c r="H21" s="33"/>
    </row>
    <row r="22" spans="2:9" ht="30.75" customHeight="1">
      <c r="B22" s="113">
        <f t="shared" si="0"/>
        <v>19</v>
      </c>
      <c r="C22" s="18">
        <v>53</v>
      </c>
      <c r="D22" s="34" t="s">
        <v>87</v>
      </c>
      <c r="E22" s="109"/>
      <c r="F22" s="116" t="s">
        <v>216</v>
      </c>
      <c r="G22" s="28">
        <f>IF(E22&gt;=0,E22,0)</f>
        <v>0</v>
      </c>
      <c r="H22" s="40" t="s">
        <v>225</v>
      </c>
    </row>
    <row r="23" spans="2:9" ht="43.15" customHeight="1">
      <c r="B23" s="113">
        <f t="shared" si="0"/>
        <v>20</v>
      </c>
      <c r="C23" s="18">
        <v>54</v>
      </c>
      <c r="D23" s="34" t="s">
        <v>89</v>
      </c>
      <c r="E23" s="109"/>
      <c r="F23" s="116" t="s">
        <v>216</v>
      </c>
      <c r="G23" s="98">
        <f>IF(E23&gt;=0,E23,0)</f>
        <v>0</v>
      </c>
      <c r="H23" s="8" t="s">
        <v>529</v>
      </c>
    </row>
    <row r="24" spans="2:9" ht="30.75" customHeight="1">
      <c r="B24" s="113">
        <f t="shared" si="0"/>
        <v>21</v>
      </c>
      <c r="C24" s="18">
        <v>56</v>
      </c>
      <c r="D24" s="34" t="s">
        <v>91</v>
      </c>
      <c r="E24" s="109"/>
      <c r="F24" s="116" t="s">
        <v>216</v>
      </c>
      <c r="G24" s="28">
        <f>IF(E24&gt;=0,E24,0)</f>
        <v>0</v>
      </c>
      <c r="H24" s="99" t="s">
        <v>225</v>
      </c>
    </row>
    <row r="25" spans="2:9" ht="30.75" customHeight="1">
      <c r="B25" s="113">
        <f t="shared" si="0"/>
        <v>22</v>
      </c>
      <c r="C25" s="18">
        <v>34</v>
      </c>
      <c r="D25" s="34" t="s">
        <v>226</v>
      </c>
      <c r="E25" s="109"/>
      <c r="F25" s="116" t="s">
        <v>216</v>
      </c>
      <c r="G25" s="28">
        <f>E25</f>
        <v>0</v>
      </c>
      <c r="H25" s="33" t="s">
        <v>227</v>
      </c>
    </row>
    <row r="26" spans="2:9" ht="30.75" customHeight="1">
      <c r="B26" s="113">
        <f t="shared" si="0"/>
        <v>23</v>
      </c>
      <c r="C26" s="18">
        <v>35</v>
      </c>
      <c r="D26" s="34" t="s">
        <v>228</v>
      </c>
      <c r="E26" s="109"/>
      <c r="F26" s="116" t="s">
        <v>216</v>
      </c>
      <c r="G26" s="28">
        <f>E26</f>
        <v>0</v>
      </c>
      <c r="H26" s="33" t="s">
        <v>229</v>
      </c>
    </row>
    <row r="27" spans="2:9" ht="30.75" customHeight="1">
      <c r="B27" s="113">
        <f t="shared" si="0"/>
        <v>24</v>
      </c>
      <c r="C27" s="18" t="s">
        <v>207</v>
      </c>
      <c r="D27" s="34" t="s">
        <v>230</v>
      </c>
      <c r="E27" s="32"/>
      <c r="F27" s="116"/>
      <c r="G27" s="28">
        <f>IF(AND(E6="",E7="",E8="",E9="",E10="",E11="",E12="",E13="",E14="",E16="",E17="",E19="",E20="",E21="",E22="",E23="",E24="",E25="",E26=""),"",MAX(SUM(G5,G14:G15,G18,G22:G26),0))</f>
        <v>452099</v>
      </c>
      <c r="H27" s="29" t="s">
        <v>231</v>
      </c>
      <c r="I27" s="35"/>
    </row>
    <row r="28" spans="2:9" ht="30.75" customHeight="1">
      <c r="B28" s="113">
        <f t="shared" si="0"/>
        <v>25</v>
      </c>
      <c r="C28" s="18">
        <v>63</v>
      </c>
      <c r="D28" s="36" t="s">
        <v>232</v>
      </c>
      <c r="E28" s="109"/>
      <c r="F28" s="116" t="s">
        <v>216</v>
      </c>
      <c r="G28" s="28">
        <f t="shared" ref="G28:G34" si="1">E28</f>
        <v>0</v>
      </c>
      <c r="H28" s="33"/>
    </row>
    <row r="29" spans="2:9" ht="30.75" customHeight="1">
      <c r="B29" s="113">
        <f t="shared" si="0"/>
        <v>26</v>
      </c>
      <c r="C29" s="18">
        <v>69</v>
      </c>
      <c r="D29" s="36" t="s">
        <v>233</v>
      </c>
      <c r="E29" s="109"/>
      <c r="F29" s="116" t="s">
        <v>216</v>
      </c>
      <c r="G29" s="28">
        <f t="shared" si="1"/>
        <v>0</v>
      </c>
      <c r="H29" s="33"/>
    </row>
    <row r="30" spans="2:9" ht="30.75" customHeight="1">
      <c r="B30" s="113">
        <f t="shared" si="0"/>
        <v>27</v>
      </c>
      <c r="C30" s="18">
        <v>64</v>
      </c>
      <c r="D30" s="36" t="s">
        <v>234</v>
      </c>
      <c r="E30" s="109"/>
      <c r="F30" s="116" t="s">
        <v>216</v>
      </c>
      <c r="G30" s="28">
        <f t="shared" si="1"/>
        <v>0</v>
      </c>
      <c r="H30" s="33"/>
    </row>
    <row r="31" spans="2:9" ht="30.75" customHeight="1">
      <c r="B31" s="113">
        <f t="shared" si="0"/>
        <v>28</v>
      </c>
      <c r="C31" s="18">
        <v>65</v>
      </c>
      <c r="D31" s="36" t="s">
        <v>235</v>
      </c>
      <c r="E31" s="109"/>
      <c r="F31" s="116" t="s">
        <v>216</v>
      </c>
      <c r="G31" s="28">
        <f t="shared" si="1"/>
        <v>0</v>
      </c>
      <c r="H31" s="33"/>
    </row>
    <row r="32" spans="2:9" ht="30.75" customHeight="1">
      <c r="B32" s="113">
        <f t="shared" si="0"/>
        <v>29</v>
      </c>
      <c r="C32" s="18">
        <v>66</v>
      </c>
      <c r="D32" s="36" t="s">
        <v>236</v>
      </c>
      <c r="E32" s="109"/>
      <c r="F32" s="116" t="s">
        <v>216</v>
      </c>
      <c r="G32" s="28">
        <f t="shared" si="1"/>
        <v>0</v>
      </c>
      <c r="H32" s="33"/>
    </row>
    <row r="33" spans="2:9" ht="30.75" customHeight="1">
      <c r="B33" s="113">
        <f t="shared" si="0"/>
        <v>30</v>
      </c>
      <c r="C33" s="18">
        <v>67</v>
      </c>
      <c r="D33" s="36" t="s">
        <v>237</v>
      </c>
      <c r="E33" s="109"/>
      <c r="F33" s="116" t="s">
        <v>216</v>
      </c>
      <c r="G33" s="28">
        <f t="shared" si="1"/>
        <v>0</v>
      </c>
      <c r="H33" s="33"/>
    </row>
    <row r="34" spans="2:9" ht="30.75" customHeight="1">
      <c r="B34" s="113">
        <f t="shared" si="0"/>
        <v>31</v>
      </c>
      <c r="C34" s="37">
        <v>68</v>
      </c>
      <c r="D34" s="38" t="s">
        <v>238</v>
      </c>
      <c r="E34" s="110"/>
      <c r="F34" s="117" t="s">
        <v>216</v>
      </c>
      <c r="G34" s="39">
        <f t="shared" si="1"/>
        <v>0</v>
      </c>
      <c r="H34" s="40"/>
    </row>
    <row r="35" spans="2:9" ht="42.6" customHeight="1">
      <c r="B35" s="113">
        <f t="shared" si="0"/>
        <v>32</v>
      </c>
      <c r="C35" s="18" t="s">
        <v>207</v>
      </c>
      <c r="D35" s="41" t="s">
        <v>239</v>
      </c>
      <c r="E35" s="42"/>
      <c r="F35" s="116"/>
      <c r="G35" s="28">
        <f>IF(G22&gt;=G33,(G22-G33),0)</f>
        <v>0</v>
      </c>
      <c r="H35" s="29" t="s">
        <v>240</v>
      </c>
    </row>
    <row r="36" spans="2:9" ht="30.75" customHeight="1">
      <c r="B36" s="113">
        <f t="shared" si="0"/>
        <v>33</v>
      </c>
      <c r="C36" s="43" t="s">
        <v>207</v>
      </c>
      <c r="D36" s="44" t="s">
        <v>241</v>
      </c>
      <c r="E36" s="45"/>
      <c r="F36" s="118"/>
      <c r="G36" s="45">
        <f>IF(G35&gt;=1,0,G33-G22)</f>
        <v>0</v>
      </c>
      <c r="H36" s="46"/>
      <c r="I36" s="35"/>
    </row>
    <row r="37" spans="2:9" ht="76.150000000000006" customHeight="1">
      <c r="B37" s="113">
        <f t="shared" si="0"/>
        <v>34</v>
      </c>
      <c r="C37" s="18" t="s">
        <v>207</v>
      </c>
      <c r="D37" s="41" t="s">
        <v>242</v>
      </c>
      <c r="E37" s="42"/>
      <c r="F37" s="116"/>
      <c r="G37" s="28">
        <f>IF(G23&gt;=SUM(G32,G36),G23-SUM(G32,G36),0)</f>
        <v>0</v>
      </c>
      <c r="H37" s="29" t="s">
        <v>243</v>
      </c>
    </row>
    <row r="38" spans="2:9" ht="30.75" customHeight="1">
      <c r="B38" s="113">
        <f t="shared" si="0"/>
        <v>35</v>
      </c>
      <c r="C38" s="43" t="s">
        <v>207</v>
      </c>
      <c r="D38" s="44" t="s">
        <v>241</v>
      </c>
      <c r="E38" s="45"/>
      <c r="F38" s="118"/>
      <c r="G38" s="45">
        <f>IF(G37&gt;=1,0,SUM(G32,G36)-G23)</f>
        <v>0</v>
      </c>
      <c r="H38" s="47"/>
      <c r="I38" s="35"/>
    </row>
    <row r="39" spans="2:9" ht="34.15" customHeight="1">
      <c r="B39" s="113">
        <f t="shared" si="0"/>
        <v>36</v>
      </c>
      <c r="C39" s="18" t="s">
        <v>207</v>
      </c>
      <c r="D39" s="41" t="s">
        <v>244</v>
      </c>
      <c r="E39" s="42"/>
      <c r="F39" s="116"/>
      <c r="G39" s="28">
        <f>IF(G14&gt;=G38,G14-G38,0)</f>
        <v>0</v>
      </c>
      <c r="H39" s="29" t="s">
        <v>245</v>
      </c>
    </row>
    <row r="40" spans="2:9" ht="34.5" customHeight="1">
      <c r="B40" s="113">
        <f t="shared" si="0"/>
        <v>37</v>
      </c>
      <c r="C40" s="18" t="s">
        <v>207</v>
      </c>
      <c r="D40" s="41" t="s">
        <v>246</v>
      </c>
      <c r="E40" s="42"/>
      <c r="F40" s="116"/>
      <c r="G40" s="28">
        <f>IF(G24&gt;=G34,G24-G34,0)</f>
        <v>0</v>
      </c>
      <c r="H40" s="29" t="s">
        <v>247</v>
      </c>
    </row>
    <row r="41" spans="2:9" ht="42.6" customHeight="1">
      <c r="B41" s="113">
        <f t="shared" si="0"/>
        <v>38</v>
      </c>
      <c r="C41" s="48" t="s">
        <v>207</v>
      </c>
      <c r="D41" s="49" t="s">
        <v>248</v>
      </c>
      <c r="E41" s="50"/>
      <c r="F41" s="119"/>
      <c r="G41" s="51">
        <f>IF(G18&gt;=SUM(G30:G31),G18-SUM(G30:G31),0)</f>
        <v>0</v>
      </c>
      <c r="H41" s="52" t="s">
        <v>249</v>
      </c>
    </row>
    <row r="42" spans="2:9" ht="30.75" customHeight="1">
      <c r="B42" s="113">
        <f t="shared" si="0"/>
        <v>39</v>
      </c>
      <c r="C42" s="43" t="s">
        <v>207</v>
      </c>
      <c r="D42" s="44" t="s">
        <v>241</v>
      </c>
      <c r="E42" s="45"/>
      <c r="F42" s="118"/>
      <c r="G42" s="45">
        <f>IF(G41&gt;=1,0,SUM(G30:G31)-G18)</f>
        <v>0</v>
      </c>
      <c r="H42" s="47"/>
    </row>
    <row r="43" spans="2:9" ht="30.75" customHeight="1">
      <c r="B43" s="113">
        <f t="shared" si="0"/>
        <v>40</v>
      </c>
      <c r="C43" s="18">
        <v>41</v>
      </c>
      <c r="D43" s="30" t="s">
        <v>250</v>
      </c>
      <c r="E43" s="109"/>
      <c r="F43" s="116" t="s">
        <v>216</v>
      </c>
      <c r="G43" s="28">
        <f>E43</f>
        <v>0</v>
      </c>
      <c r="H43" s="53"/>
    </row>
    <row r="44" spans="2:9" ht="30.75" customHeight="1">
      <c r="B44" s="113">
        <f t="shared" si="0"/>
        <v>41</v>
      </c>
      <c r="C44" s="18">
        <v>44</v>
      </c>
      <c r="D44" s="30" t="s">
        <v>113</v>
      </c>
      <c r="E44" s="109"/>
      <c r="F44" s="116" t="s">
        <v>216</v>
      </c>
      <c r="G44" s="28">
        <f>E44</f>
        <v>0</v>
      </c>
      <c r="H44" s="53"/>
    </row>
    <row r="45" spans="2:9" ht="43.15" customHeight="1">
      <c r="B45" s="113">
        <f t="shared" si="0"/>
        <v>42</v>
      </c>
      <c r="C45" s="18" t="s">
        <v>207</v>
      </c>
      <c r="D45" s="49" t="s">
        <v>251</v>
      </c>
      <c r="E45" s="32"/>
      <c r="F45" s="116"/>
      <c r="G45" s="28">
        <f>IF(G41-SUM(G43:G44)&gt;=0,G41-SUM(G43:G44),0)</f>
        <v>0</v>
      </c>
      <c r="H45" s="33" t="s">
        <v>252</v>
      </c>
    </row>
    <row r="46" spans="2:9" ht="43.15" customHeight="1">
      <c r="B46" s="113">
        <f t="shared" si="0"/>
        <v>43</v>
      </c>
      <c r="C46" s="18" t="s">
        <v>207</v>
      </c>
      <c r="D46" s="41" t="s">
        <v>253</v>
      </c>
      <c r="E46" s="42"/>
      <c r="F46" s="116"/>
      <c r="G46" s="28">
        <f>IF(G15&gt;=G42,G15-G42,0)</f>
        <v>0</v>
      </c>
      <c r="H46" s="29" t="s">
        <v>254</v>
      </c>
    </row>
    <row r="47" spans="2:9" ht="30.75" customHeight="1">
      <c r="B47" s="113">
        <f t="shared" si="0"/>
        <v>44</v>
      </c>
      <c r="C47" s="43" t="s">
        <v>207</v>
      </c>
      <c r="D47" s="44" t="s">
        <v>241</v>
      </c>
      <c r="E47" s="45"/>
      <c r="F47" s="118"/>
      <c r="G47" s="45">
        <f>IF(G46&gt;=1,0,G42-G15)</f>
        <v>0</v>
      </c>
      <c r="H47" s="47"/>
    </row>
    <row r="48" spans="2:9" ht="30.75" customHeight="1">
      <c r="B48" s="113">
        <f t="shared" si="0"/>
        <v>45</v>
      </c>
      <c r="C48" s="18">
        <v>48</v>
      </c>
      <c r="D48" s="30" t="s">
        <v>115</v>
      </c>
      <c r="E48" s="31"/>
      <c r="F48" s="116" t="s">
        <v>216</v>
      </c>
      <c r="G48" s="28">
        <f>E48</f>
        <v>0</v>
      </c>
      <c r="H48" s="53"/>
    </row>
    <row r="49" spans="2:9" ht="30.75" customHeight="1">
      <c r="B49" s="113">
        <f t="shared" si="0"/>
        <v>46</v>
      </c>
      <c r="C49" s="18">
        <v>50</v>
      </c>
      <c r="D49" s="30" t="s">
        <v>117</v>
      </c>
      <c r="E49" s="31"/>
      <c r="F49" s="116" t="s">
        <v>216</v>
      </c>
      <c r="G49" s="28">
        <f>E49</f>
        <v>0</v>
      </c>
      <c r="H49" s="53"/>
    </row>
    <row r="50" spans="2:9" ht="46.15" customHeight="1">
      <c r="B50" s="113">
        <f t="shared" si="0"/>
        <v>47</v>
      </c>
      <c r="C50" s="18" t="s">
        <v>207</v>
      </c>
      <c r="D50" s="49" t="s">
        <v>255</v>
      </c>
      <c r="E50" s="32"/>
      <c r="F50" s="116"/>
      <c r="G50" s="28">
        <f>IF(G46-SUM(G48:G49)&gt;=0,G46-SUM(G48:G49),0)</f>
        <v>0</v>
      </c>
      <c r="H50" s="33" t="s">
        <v>256</v>
      </c>
    </row>
    <row r="51" spans="2:9" ht="47.25" customHeight="1">
      <c r="B51" s="113">
        <f t="shared" si="0"/>
        <v>48</v>
      </c>
      <c r="C51" s="18" t="s">
        <v>207</v>
      </c>
      <c r="D51" s="41" t="s">
        <v>257</v>
      </c>
      <c r="E51" s="42"/>
      <c r="F51" s="116"/>
      <c r="G51" s="28">
        <f>IF(G5&gt;=SUM(G28:G29,G47),G5-SUM(G28:G29,G47),0)</f>
        <v>452099</v>
      </c>
      <c r="H51" s="29" t="s">
        <v>258</v>
      </c>
      <c r="I51" s="35"/>
    </row>
    <row r="52" spans="2:9" ht="30.75" customHeight="1">
      <c r="B52" s="113">
        <f t="shared" si="0"/>
        <v>49</v>
      </c>
      <c r="C52" s="43" t="s">
        <v>207</v>
      </c>
      <c r="D52" s="44" t="s">
        <v>241</v>
      </c>
      <c r="E52" s="45"/>
      <c r="F52" s="118"/>
      <c r="G52" s="45">
        <f>IF(G51&gt;=1,0,SUM(G28:G29,G47)-G5)</f>
        <v>0</v>
      </c>
      <c r="H52" s="47"/>
    </row>
    <row r="53" spans="2:9" ht="42.6" customHeight="1">
      <c r="B53" s="113">
        <f t="shared" si="0"/>
        <v>50</v>
      </c>
      <c r="C53" s="18" t="s">
        <v>207</v>
      </c>
      <c r="D53" s="41" t="s">
        <v>259</v>
      </c>
      <c r="E53" s="42"/>
      <c r="F53" s="116"/>
      <c r="G53" s="28">
        <f>IF(G25&gt;=G52,G25-G52,0)</f>
        <v>0</v>
      </c>
      <c r="H53" s="29" t="s">
        <v>260</v>
      </c>
    </row>
    <row r="54" spans="2:9" ht="30.75" customHeight="1">
      <c r="B54" s="113">
        <f t="shared" si="0"/>
        <v>51</v>
      </c>
      <c r="C54" s="43" t="s">
        <v>207</v>
      </c>
      <c r="D54" s="54" t="s">
        <v>241</v>
      </c>
      <c r="E54" s="45"/>
      <c r="F54" s="118"/>
      <c r="G54" s="45">
        <f>IF(G53&gt;=1,0,(G52-G25))</f>
        <v>0</v>
      </c>
      <c r="H54" s="47"/>
      <c r="I54" s="35"/>
    </row>
    <row r="55" spans="2:9" ht="42.6" customHeight="1">
      <c r="B55" s="113">
        <f t="shared" si="0"/>
        <v>52</v>
      </c>
      <c r="C55" s="18" t="s">
        <v>207</v>
      </c>
      <c r="D55" s="41" t="s">
        <v>261</v>
      </c>
      <c r="E55" s="42"/>
      <c r="F55" s="116"/>
      <c r="G55" s="28">
        <f>IF(G26&gt;=G54,G26-G54,0)</f>
        <v>0</v>
      </c>
      <c r="H55" s="29" t="s">
        <v>262</v>
      </c>
    </row>
    <row r="56" spans="2:9" ht="30.75" customHeight="1">
      <c r="B56" s="113">
        <f t="shared" si="0"/>
        <v>53</v>
      </c>
      <c r="C56" s="43" t="s">
        <v>207</v>
      </c>
      <c r="D56" s="44" t="s">
        <v>241</v>
      </c>
      <c r="E56" s="45"/>
      <c r="F56" s="118"/>
      <c r="G56" s="45">
        <f>IF(G55&gt;=1,0,(G54-G26))</f>
        <v>0</v>
      </c>
      <c r="H56" s="47"/>
      <c r="I56" s="35"/>
    </row>
    <row r="57" spans="2:9" ht="30" customHeight="1">
      <c r="B57" s="113">
        <f t="shared" si="0"/>
        <v>54</v>
      </c>
      <c r="C57" s="139" t="s">
        <v>263</v>
      </c>
      <c r="D57" s="139"/>
      <c r="E57" s="139"/>
      <c r="F57" s="139"/>
      <c r="G57" s="139"/>
      <c r="H57" s="139"/>
    </row>
    <row r="58" spans="2:9" ht="30.75" customHeight="1">
      <c r="B58" s="113">
        <f t="shared" si="0"/>
        <v>55</v>
      </c>
      <c r="C58" s="18">
        <v>70</v>
      </c>
      <c r="D58" s="34" t="s">
        <v>264</v>
      </c>
      <c r="E58" s="109"/>
      <c r="F58" s="116" t="s">
        <v>216</v>
      </c>
      <c r="G58" s="28">
        <f>E58</f>
        <v>0</v>
      </c>
      <c r="H58" s="53" t="s">
        <v>265</v>
      </c>
    </row>
    <row r="59" spans="2:9" ht="30.75" customHeight="1">
      <c r="B59" s="113">
        <f t="shared" si="0"/>
        <v>56</v>
      </c>
      <c r="C59" s="18">
        <v>71</v>
      </c>
      <c r="D59" s="34" t="s">
        <v>266</v>
      </c>
      <c r="E59" s="109"/>
      <c r="F59" s="116" t="s">
        <v>216</v>
      </c>
      <c r="G59" s="28">
        <f t="shared" ref="G59:G61" si="2">E59</f>
        <v>0</v>
      </c>
      <c r="H59" s="55" t="s">
        <v>265</v>
      </c>
    </row>
    <row r="60" spans="2:9" ht="30.75" customHeight="1">
      <c r="B60" s="113">
        <f t="shared" si="0"/>
        <v>57</v>
      </c>
      <c r="C60" s="18">
        <v>72</v>
      </c>
      <c r="D60" s="34" t="s">
        <v>267</v>
      </c>
      <c r="E60" s="109"/>
      <c r="F60" s="116" t="s">
        <v>216</v>
      </c>
      <c r="G60" s="28">
        <f t="shared" si="2"/>
        <v>0</v>
      </c>
      <c r="H60" s="55" t="s">
        <v>265</v>
      </c>
    </row>
    <row r="61" spans="2:9" ht="30.75" customHeight="1">
      <c r="B61" s="113">
        <f t="shared" si="0"/>
        <v>58</v>
      </c>
      <c r="C61" s="18">
        <v>73</v>
      </c>
      <c r="D61" s="34" t="s">
        <v>268</v>
      </c>
      <c r="E61" s="109"/>
      <c r="F61" s="116" t="s">
        <v>216</v>
      </c>
      <c r="G61" s="28">
        <f t="shared" si="2"/>
        <v>0</v>
      </c>
      <c r="H61" s="55" t="s">
        <v>265</v>
      </c>
    </row>
    <row r="62" spans="2:9" ht="94.5">
      <c r="B62" s="113">
        <f t="shared" si="0"/>
        <v>59</v>
      </c>
      <c r="C62" s="18">
        <v>74</v>
      </c>
      <c r="D62" s="34" t="s">
        <v>269</v>
      </c>
      <c r="E62" s="109"/>
      <c r="F62" s="116" t="s">
        <v>270</v>
      </c>
      <c r="G62" s="28">
        <f>E62*4/2.8</f>
        <v>0</v>
      </c>
      <c r="H62" s="29" t="s">
        <v>271</v>
      </c>
      <c r="I62" s="35"/>
    </row>
    <row r="63" spans="2:9" ht="40.5">
      <c r="B63" s="113">
        <f t="shared" si="0"/>
        <v>60</v>
      </c>
      <c r="C63" s="18">
        <v>75</v>
      </c>
      <c r="D63" s="34" t="s">
        <v>272</v>
      </c>
      <c r="E63" s="109"/>
      <c r="F63" s="116" t="s">
        <v>273</v>
      </c>
      <c r="G63" s="28">
        <f>E63*2</f>
        <v>0</v>
      </c>
      <c r="H63" s="29" t="s">
        <v>274</v>
      </c>
    </row>
    <row r="64" spans="2:9" ht="41.45" customHeight="1">
      <c r="B64" s="113">
        <f t="shared" si="0"/>
        <v>61</v>
      </c>
      <c r="C64" s="18">
        <v>76</v>
      </c>
      <c r="D64" s="34" t="s">
        <v>275</v>
      </c>
      <c r="E64" s="109"/>
      <c r="F64" s="116"/>
      <c r="G64" s="32"/>
      <c r="H64" s="140" t="s">
        <v>276</v>
      </c>
    </row>
    <row r="65" spans="2:8" ht="41.45" customHeight="1">
      <c r="B65" s="113">
        <f t="shared" si="0"/>
        <v>62</v>
      </c>
      <c r="C65" s="18" t="s">
        <v>207</v>
      </c>
      <c r="D65" s="30" t="s">
        <v>277</v>
      </c>
      <c r="E65" s="32"/>
      <c r="F65" s="116"/>
      <c r="G65" s="28">
        <f>IF(G27&lt;=9000000,IF(E64=330000,380000,E64),0)</f>
        <v>0</v>
      </c>
      <c r="H65" s="140"/>
    </row>
    <row r="66" spans="2:8" ht="41.45" customHeight="1">
      <c r="B66" s="113">
        <f t="shared" si="0"/>
        <v>63</v>
      </c>
      <c r="C66" s="18" t="s">
        <v>207</v>
      </c>
      <c r="D66" s="56" t="s">
        <v>278</v>
      </c>
      <c r="E66" s="32"/>
      <c r="F66" s="116"/>
      <c r="G66" s="28">
        <f>IF(AND(9000000&lt;G27,G27&lt;=9500000),IF(E64=220000,260000,E64),0)</f>
        <v>0</v>
      </c>
      <c r="H66" s="140"/>
    </row>
    <row r="67" spans="2:8" ht="41.45" customHeight="1">
      <c r="B67" s="113">
        <f t="shared" si="0"/>
        <v>64</v>
      </c>
      <c r="C67" s="18" t="s">
        <v>207</v>
      </c>
      <c r="D67" s="56" t="s">
        <v>279</v>
      </c>
      <c r="E67" s="32"/>
      <c r="F67" s="116"/>
      <c r="G67" s="28">
        <f>IF(AND(9500000&lt;G27,G27&lt;=10000000),IF(E64=110000,130000,E64),0)</f>
        <v>0</v>
      </c>
      <c r="H67" s="140"/>
    </row>
    <row r="68" spans="2:8" ht="30.75" customHeight="1">
      <c r="B68" s="113">
        <f t="shared" si="0"/>
        <v>65</v>
      </c>
      <c r="C68" s="18">
        <v>77</v>
      </c>
      <c r="D68" s="34" t="s">
        <v>280</v>
      </c>
      <c r="E68" s="109"/>
      <c r="F68" s="116"/>
      <c r="G68" s="32"/>
      <c r="H68" s="29"/>
    </row>
    <row r="69" spans="2:8" ht="30.75" customHeight="1">
      <c r="B69" s="113">
        <f t="shared" si="0"/>
        <v>66</v>
      </c>
      <c r="C69" s="18" t="s">
        <v>207</v>
      </c>
      <c r="D69" s="30" t="s">
        <v>281</v>
      </c>
      <c r="E69" s="32"/>
      <c r="F69" s="120" t="s">
        <v>282</v>
      </c>
      <c r="G69" s="28">
        <f>IF(E68=1,IF(G27&lt;=9000000,380000,IF(G27&lt;=9500000,260000,IF(G27&lt;=10000000,130000,0))),0)</f>
        <v>0</v>
      </c>
      <c r="H69" s="29" t="s">
        <v>283</v>
      </c>
    </row>
    <row r="70" spans="2:8" ht="30.75" customHeight="1">
      <c r="B70" s="113">
        <f t="shared" ref="B70:B120" si="3">B69+1</f>
        <v>67</v>
      </c>
      <c r="C70" s="18" t="s">
        <v>207</v>
      </c>
      <c r="D70" s="30" t="s">
        <v>284</v>
      </c>
      <c r="E70" s="32"/>
      <c r="F70" s="120" t="s">
        <v>285</v>
      </c>
      <c r="G70" s="28">
        <f>IF(E68=2,IF(G27&lt;=9000000,480000,IF(G27&lt;=9500000,320000,IF(G27&lt;=10000000,160000,0))),0)</f>
        <v>0</v>
      </c>
      <c r="H70" s="29" t="s">
        <v>286</v>
      </c>
    </row>
    <row r="71" spans="2:8" ht="30.75" customHeight="1">
      <c r="B71" s="113">
        <f t="shared" si="3"/>
        <v>68</v>
      </c>
      <c r="C71" s="18" t="s">
        <v>207</v>
      </c>
      <c r="D71" s="56" t="s">
        <v>287</v>
      </c>
      <c r="E71" s="32"/>
      <c r="F71" s="121" t="s">
        <v>288</v>
      </c>
      <c r="G71" s="28">
        <f>IF(E68=3,0,0)</f>
        <v>0</v>
      </c>
      <c r="H71" s="29" t="s">
        <v>289</v>
      </c>
    </row>
    <row r="72" spans="2:8" ht="30.75" customHeight="1">
      <c r="B72" s="113">
        <f t="shared" si="3"/>
        <v>69</v>
      </c>
      <c r="C72" s="18">
        <v>80</v>
      </c>
      <c r="D72" s="34" t="s">
        <v>290</v>
      </c>
      <c r="E72" s="109"/>
      <c r="F72" s="116" t="s">
        <v>291</v>
      </c>
      <c r="G72" s="28">
        <f>E72*380000</f>
        <v>0</v>
      </c>
      <c r="H72" s="55" t="s">
        <v>292</v>
      </c>
    </row>
    <row r="73" spans="2:8" ht="30.75" customHeight="1">
      <c r="B73" s="113">
        <f t="shared" si="3"/>
        <v>70</v>
      </c>
      <c r="C73" s="18">
        <v>81</v>
      </c>
      <c r="D73" s="34" t="s">
        <v>293</v>
      </c>
      <c r="E73" s="109"/>
      <c r="F73" s="116" t="s">
        <v>294</v>
      </c>
      <c r="G73" s="28">
        <f>E73*630000</f>
        <v>0</v>
      </c>
      <c r="H73" s="55" t="s">
        <v>292</v>
      </c>
    </row>
    <row r="74" spans="2:8" ht="30.75" customHeight="1">
      <c r="B74" s="113">
        <f t="shared" si="3"/>
        <v>71</v>
      </c>
      <c r="C74" s="18">
        <v>82</v>
      </c>
      <c r="D74" s="34" t="s">
        <v>295</v>
      </c>
      <c r="E74" s="109"/>
      <c r="F74" s="116" t="s">
        <v>296</v>
      </c>
      <c r="G74" s="28">
        <f>E74*480000</f>
        <v>0</v>
      </c>
      <c r="H74" s="55" t="s">
        <v>292</v>
      </c>
    </row>
    <row r="75" spans="2:8" ht="30.75" customHeight="1">
      <c r="B75" s="113">
        <f t="shared" si="3"/>
        <v>72</v>
      </c>
      <c r="C75" s="18">
        <v>83</v>
      </c>
      <c r="D75" s="34" t="s">
        <v>297</v>
      </c>
      <c r="E75" s="109"/>
      <c r="F75" s="116" t="s">
        <v>298</v>
      </c>
      <c r="G75" s="28">
        <f>E75*100000</f>
        <v>0</v>
      </c>
      <c r="H75" s="29" t="s">
        <v>299</v>
      </c>
    </row>
    <row r="76" spans="2:8" ht="30.75" customHeight="1">
      <c r="B76" s="113">
        <f t="shared" si="3"/>
        <v>73</v>
      </c>
      <c r="C76" s="18">
        <v>87</v>
      </c>
      <c r="D76" s="34" t="s">
        <v>300</v>
      </c>
      <c r="E76" s="109"/>
      <c r="F76" s="116" t="s">
        <v>301</v>
      </c>
      <c r="G76" s="28">
        <f>E76*270000</f>
        <v>0</v>
      </c>
      <c r="H76" s="55" t="s">
        <v>292</v>
      </c>
    </row>
    <row r="77" spans="2:8" ht="30.75" customHeight="1">
      <c r="B77" s="113">
        <f t="shared" si="3"/>
        <v>74</v>
      </c>
      <c r="C77" s="18">
        <v>88</v>
      </c>
      <c r="D77" s="34" t="s">
        <v>302</v>
      </c>
      <c r="E77" s="109"/>
      <c r="F77" s="116" t="s">
        <v>303</v>
      </c>
      <c r="G77" s="28">
        <f>E77*400000</f>
        <v>0</v>
      </c>
      <c r="H77" s="55" t="s">
        <v>292</v>
      </c>
    </row>
    <row r="78" spans="2:8" ht="30.75" customHeight="1">
      <c r="B78" s="113">
        <f t="shared" si="3"/>
        <v>75</v>
      </c>
      <c r="C78" s="18">
        <v>89</v>
      </c>
      <c r="D78" s="34" t="s">
        <v>304</v>
      </c>
      <c r="E78" s="109"/>
      <c r="F78" s="116" t="s">
        <v>305</v>
      </c>
      <c r="G78" s="28">
        <f>E78*350000</f>
        <v>0</v>
      </c>
      <c r="H78" s="29" t="s">
        <v>306</v>
      </c>
    </row>
    <row r="79" spans="2:8" ht="30.75" customHeight="1">
      <c r="B79" s="113">
        <f t="shared" si="3"/>
        <v>76</v>
      </c>
      <c r="C79" s="18">
        <v>92</v>
      </c>
      <c r="D79" s="36" t="s">
        <v>307</v>
      </c>
      <c r="E79" s="109"/>
      <c r="F79" s="116"/>
      <c r="G79" s="32"/>
      <c r="H79" s="29"/>
    </row>
    <row r="80" spans="2:8" ht="30.75" customHeight="1">
      <c r="B80" s="113">
        <f t="shared" si="3"/>
        <v>77</v>
      </c>
      <c r="C80" s="18" t="s">
        <v>207</v>
      </c>
      <c r="D80" s="30" t="s">
        <v>308</v>
      </c>
      <c r="E80" s="42"/>
      <c r="F80" s="121" t="s">
        <v>309</v>
      </c>
      <c r="G80" s="28">
        <f>IF(E79=1,400000,0)</f>
        <v>0</v>
      </c>
      <c r="H80" s="29" t="s">
        <v>310</v>
      </c>
    </row>
    <row r="81" spans="2:9" ht="30.75" customHeight="1">
      <c r="B81" s="113">
        <f t="shared" si="3"/>
        <v>78</v>
      </c>
      <c r="C81" s="18" t="s">
        <v>207</v>
      </c>
      <c r="D81" s="30" t="s">
        <v>311</v>
      </c>
      <c r="E81" s="42"/>
      <c r="F81" s="121" t="s">
        <v>309</v>
      </c>
      <c r="G81" s="28">
        <f>IF(E79=2,400000,0)</f>
        <v>0</v>
      </c>
      <c r="H81" s="29" t="s">
        <v>310</v>
      </c>
    </row>
    <row r="82" spans="2:9" ht="30.75" customHeight="1">
      <c r="B82" s="113">
        <f t="shared" si="3"/>
        <v>79</v>
      </c>
      <c r="C82" s="18" t="s">
        <v>207</v>
      </c>
      <c r="D82" s="30" t="s">
        <v>312</v>
      </c>
      <c r="E82" s="42"/>
      <c r="F82" s="121" t="s">
        <v>313</v>
      </c>
      <c r="G82" s="28">
        <f>IF(E79=3,270000,0)</f>
        <v>0</v>
      </c>
      <c r="H82" s="29" t="s">
        <v>310</v>
      </c>
    </row>
    <row r="83" spans="2:9" ht="30.75" customHeight="1">
      <c r="B83" s="113">
        <f t="shared" si="3"/>
        <v>80</v>
      </c>
      <c r="C83" s="18">
        <v>93</v>
      </c>
      <c r="D83" s="36" t="s">
        <v>314</v>
      </c>
      <c r="E83" s="109"/>
      <c r="F83" s="116"/>
      <c r="G83" s="32"/>
      <c r="H83" s="29"/>
    </row>
    <row r="84" spans="2:9" ht="30.75" customHeight="1">
      <c r="B84" s="113">
        <f t="shared" si="3"/>
        <v>81</v>
      </c>
      <c r="C84" s="18" t="s">
        <v>207</v>
      </c>
      <c r="D84" s="30" t="s">
        <v>315</v>
      </c>
      <c r="E84" s="32"/>
      <c r="F84" s="121" t="s">
        <v>313</v>
      </c>
      <c r="G84" s="28">
        <f>IF(E83=1,270000,0)</f>
        <v>0</v>
      </c>
      <c r="H84" s="29" t="s">
        <v>316</v>
      </c>
    </row>
    <row r="85" spans="2:9" ht="30.75" customHeight="1">
      <c r="B85" s="113">
        <f t="shared" si="3"/>
        <v>82</v>
      </c>
      <c r="C85" s="18" t="s">
        <v>207</v>
      </c>
      <c r="D85" s="30" t="s">
        <v>317</v>
      </c>
      <c r="E85" s="32"/>
      <c r="F85" s="121" t="s">
        <v>318</v>
      </c>
      <c r="G85" s="28">
        <f>IF(E83=2,350000,0)</f>
        <v>0</v>
      </c>
      <c r="H85" s="29" t="s">
        <v>316</v>
      </c>
    </row>
    <row r="86" spans="2:9" ht="30.75" customHeight="1">
      <c r="B86" s="113">
        <f t="shared" si="3"/>
        <v>83</v>
      </c>
      <c r="C86" s="18">
        <v>94</v>
      </c>
      <c r="D86" s="34" t="s">
        <v>319</v>
      </c>
      <c r="E86" s="109"/>
      <c r="F86" s="122"/>
      <c r="G86" s="42"/>
      <c r="H86" s="55"/>
    </row>
    <row r="87" spans="2:9" ht="30.75" customHeight="1">
      <c r="B87" s="113">
        <f t="shared" si="3"/>
        <v>84</v>
      </c>
      <c r="C87" s="18" t="s">
        <v>207</v>
      </c>
      <c r="D87" s="30" t="s">
        <v>320</v>
      </c>
      <c r="E87" s="32"/>
      <c r="F87" s="121" t="s">
        <v>313</v>
      </c>
      <c r="G87" s="39">
        <f>IF(E86=1,270000,0)</f>
        <v>0</v>
      </c>
      <c r="H87" s="102" t="s">
        <v>321</v>
      </c>
    </row>
    <row r="88" spans="2:9" ht="30.75" customHeight="1">
      <c r="B88" s="113">
        <f t="shared" si="3"/>
        <v>85</v>
      </c>
      <c r="C88" s="18" t="s">
        <v>207</v>
      </c>
      <c r="D88" s="34" t="s">
        <v>322</v>
      </c>
      <c r="E88" s="32"/>
      <c r="F88" s="123"/>
      <c r="G88" s="28">
        <f>IF(G27&gt;0,IF(G27&gt;25000000,0,IF(G27&gt;24500000,160000,IF(G27&gt;24000000,320000,480000))),0)</f>
        <v>480000</v>
      </c>
      <c r="H88" s="108" t="s">
        <v>323</v>
      </c>
    </row>
    <row r="89" spans="2:9" ht="30.75" customHeight="1">
      <c r="B89" s="113">
        <f t="shared" si="3"/>
        <v>86</v>
      </c>
      <c r="C89" s="18" t="s">
        <v>207</v>
      </c>
      <c r="D89" s="34" t="s">
        <v>324</v>
      </c>
      <c r="E89" s="32"/>
      <c r="F89" s="121"/>
      <c r="G89" s="103">
        <f>SUM(G58:G63,G65:G67,G69:G78,G80:G82,G84:G85,G87:G88)</f>
        <v>480000</v>
      </c>
      <c r="H89" s="99"/>
    </row>
    <row r="90" spans="2:9" ht="30.75" customHeight="1">
      <c r="B90" s="113">
        <f t="shared" si="3"/>
        <v>87</v>
      </c>
      <c r="C90" s="138" t="s">
        <v>325</v>
      </c>
      <c r="D90" s="138"/>
      <c r="E90" s="138"/>
      <c r="F90" s="138"/>
      <c r="G90" s="138"/>
      <c r="H90" s="138"/>
    </row>
    <row r="91" spans="2:9" ht="42.6" customHeight="1">
      <c r="B91" s="113">
        <f t="shared" si="3"/>
        <v>88</v>
      </c>
      <c r="C91" s="18" t="s">
        <v>207</v>
      </c>
      <c r="D91" s="34" t="s">
        <v>326</v>
      </c>
      <c r="E91" s="42"/>
      <c r="F91" s="116" t="s">
        <v>327</v>
      </c>
      <c r="G91" s="28">
        <f>ROUNDDOWN(IF(G51&gt;=G89,G51-G89,0),-3)</f>
        <v>0</v>
      </c>
      <c r="H91" s="33" t="s">
        <v>328</v>
      </c>
      <c r="I91" s="35"/>
    </row>
    <row r="92" spans="2:9" ht="32.25" customHeight="1">
      <c r="B92" s="113">
        <f t="shared" si="3"/>
        <v>89</v>
      </c>
      <c r="C92" s="43" t="s">
        <v>207</v>
      </c>
      <c r="D92" s="44" t="s">
        <v>241</v>
      </c>
      <c r="E92" s="45"/>
      <c r="F92" s="124"/>
      <c r="G92" s="45">
        <f>MAX(IF(G91&gt;=1,0,G89-G51),0)</f>
        <v>27901</v>
      </c>
      <c r="H92" s="46"/>
      <c r="I92" s="35"/>
    </row>
    <row r="93" spans="2:9" ht="42.6" customHeight="1">
      <c r="B93" s="113">
        <f t="shared" si="3"/>
        <v>90</v>
      </c>
      <c r="C93" s="18" t="s">
        <v>207</v>
      </c>
      <c r="D93" s="34" t="s">
        <v>329</v>
      </c>
      <c r="E93" s="42"/>
      <c r="F93" s="116" t="s">
        <v>327</v>
      </c>
      <c r="G93" s="28">
        <f>ROUNDDOWN(IF(G50&gt;=G92,G50-G92,0),-3)</f>
        <v>0</v>
      </c>
      <c r="H93" s="29" t="s">
        <v>330</v>
      </c>
      <c r="I93" s="35"/>
    </row>
    <row r="94" spans="2:9" ht="29.25" customHeight="1">
      <c r="B94" s="113">
        <f t="shared" si="3"/>
        <v>91</v>
      </c>
      <c r="C94" s="43" t="s">
        <v>207</v>
      </c>
      <c r="D94" s="58" t="s">
        <v>331</v>
      </c>
      <c r="E94" s="45"/>
      <c r="F94" s="124"/>
      <c r="G94" s="45">
        <f>MAX(IF(G93&gt;=1,0,G92-G50),0)</f>
        <v>27901</v>
      </c>
      <c r="H94" s="46"/>
      <c r="I94" s="35"/>
    </row>
    <row r="95" spans="2:9" ht="42.6" customHeight="1">
      <c r="B95" s="113">
        <f t="shared" si="3"/>
        <v>92</v>
      </c>
      <c r="C95" s="18" t="s">
        <v>207</v>
      </c>
      <c r="D95" s="34" t="s">
        <v>332</v>
      </c>
      <c r="E95" s="42"/>
      <c r="F95" s="116" t="s">
        <v>327</v>
      </c>
      <c r="G95" s="28">
        <f>ROUNDDOWN(IF(G45&gt;=G94,G45-G94,0),-3)</f>
        <v>0</v>
      </c>
      <c r="H95" s="29" t="s">
        <v>333</v>
      </c>
      <c r="I95" s="35"/>
    </row>
    <row r="96" spans="2:9" ht="29.25" customHeight="1">
      <c r="B96" s="113">
        <f t="shared" si="3"/>
        <v>93</v>
      </c>
      <c r="C96" s="43" t="s">
        <v>207</v>
      </c>
      <c r="D96" s="58" t="s">
        <v>331</v>
      </c>
      <c r="E96" s="45"/>
      <c r="F96" s="124"/>
      <c r="G96" s="45">
        <f>MAX(IF(G95&gt;=1,0,G94-G45),0)</f>
        <v>27901</v>
      </c>
      <c r="H96" s="46"/>
      <c r="I96" s="35"/>
    </row>
    <row r="97" spans="2:9" ht="42.6" customHeight="1">
      <c r="B97" s="113">
        <f t="shared" si="3"/>
        <v>94</v>
      </c>
      <c r="C97" s="18" t="s">
        <v>207</v>
      </c>
      <c r="D97" s="59" t="s">
        <v>334</v>
      </c>
      <c r="E97" s="42"/>
      <c r="F97" s="116" t="s">
        <v>327</v>
      </c>
      <c r="G97" s="28">
        <f>ROUNDDOWN(IF(G39&gt;=G96,G39-G96,0),-3)</f>
        <v>0</v>
      </c>
      <c r="H97" s="29" t="s">
        <v>335</v>
      </c>
      <c r="I97" s="35"/>
    </row>
    <row r="98" spans="2:9" ht="28.5" customHeight="1">
      <c r="B98" s="113">
        <f t="shared" si="3"/>
        <v>95</v>
      </c>
      <c r="C98" s="43" t="s">
        <v>207</v>
      </c>
      <c r="D98" s="58" t="s">
        <v>331</v>
      </c>
      <c r="E98" s="45"/>
      <c r="F98" s="124"/>
      <c r="G98" s="45">
        <f>MAX(IF(G97&gt;=1,0,G96-G39),0)</f>
        <v>27901</v>
      </c>
      <c r="H98" s="46"/>
      <c r="I98" s="35"/>
    </row>
    <row r="99" spans="2:9" ht="42.6" customHeight="1">
      <c r="B99" s="113">
        <f t="shared" si="3"/>
        <v>96</v>
      </c>
      <c r="C99" s="18" t="s">
        <v>207</v>
      </c>
      <c r="D99" s="34" t="s">
        <v>336</v>
      </c>
      <c r="E99" s="42"/>
      <c r="F99" s="116" t="s">
        <v>327</v>
      </c>
      <c r="G99" s="28">
        <f>ROUNDDOWN(IF(G35&gt;=G98,G35-G98,0),-3)</f>
        <v>0</v>
      </c>
      <c r="H99" s="29" t="s">
        <v>337</v>
      </c>
      <c r="I99" s="35"/>
    </row>
    <row r="100" spans="2:9" ht="29.25" customHeight="1">
      <c r="B100" s="113">
        <f t="shared" si="3"/>
        <v>97</v>
      </c>
      <c r="C100" s="43" t="s">
        <v>207</v>
      </c>
      <c r="D100" s="58" t="s">
        <v>331</v>
      </c>
      <c r="E100" s="45"/>
      <c r="F100" s="124"/>
      <c r="G100" s="45">
        <f>MAX(IF(G99&gt;=1,0,G98-G35),0)</f>
        <v>27901</v>
      </c>
      <c r="H100" s="46"/>
      <c r="I100" s="35"/>
    </row>
    <row r="101" spans="2:9" ht="42.6" customHeight="1">
      <c r="B101" s="113">
        <f t="shared" si="3"/>
        <v>98</v>
      </c>
      <c r="C101" s="18" t="s">
        <v>207</v>
      </c>
      <c r="D101" s="34" t="s">
        <v>338</v>
      </c>
      <c r="E101" s="42"/>
      <c r="F101" s="116" t="s">
        <v>327</v>
      </c>
      <c r="G101" s="28">
        <f>ROUNDDOWN(IF(G37&gt;=G100,G37-G100,0),-3)</f>
        <v>0</v>
      </c>
      <c r="H101" s="29" t="s">
        <v>339</v>
      </c>
      <c r="I101" s="35"/>
    </row>
    <row r="102" spans="2:9" ht="29.25" customHeight="1">
      <c r="B102" s="113">
        <f t="shared" si="3"/>
        <v>99</v>
      </c>
      <c r="C102" s="43" t="s">
        <v>207</v>
      </c>
      <c r="D102" s="60"/>
      <c r="E102" s="45"/>
      <c r="F102" s="124"/>
      <c r="G102" s="45">
        <f>MAX(IF(G101&gt;=1,0,G100-G37),0)</f>
        <v>27901</v>
      </c>
      <c r="H102" s="46"/>
      <c r="I102" s="35"/>
    </row>
    <row r="103" spans="2:9" ht="42.6" customHeight="1">
      <c r="B103" s="113">
        <f t="shared" si="3"/>
        <v>100</v>
      </c>
      <c r="C103" s="18" t="s">
        <v>207</v>
      </c>
      <c r="D103" s="34" t="s">
        <v>340</v>
      </c>
      <c r="E103" s="42"/>
      <c r="F103" s="116" t="s">
        <v>327</v>
      </c>
      <c r="G103" s="28">
        <f>ROUNDDOWN(IF(G40&gt;=G102,G40-G102,0),-3)</f>
        <v>0</v>
      </c>
      <c r="H103" s="29" t="s">
        <v>341</v>
      </c>
      <c r="I103" s="35"/>
    </row>
    <row r="104" spans="2:9" ht="29.25" customHeight="1">
      <c r="B104" s="113">
        <f t="shared" si="3"/>
        <v>101</v>
      </c>
      <c r="C104" s="43" t="s">
        <v>207</v>
      </c>
      <c r="D104" s="60"/>
      <c r="E104" s="45"/>
      <c r="F104" s="124"/>
      <c r="G104" s="45">
        <f>MAX(IF(G103&gt;=1,0,G102-G40),0)</f>
        <v>27901</v>
      </c>
      <c r="H104" s="46"/>
      <c r="I104" s="35"/>
    </row>
    <row r="105" spans="2:9" ht="42.6" customHeight="1">
      <c r="B105" s="113">
        <f t="shared" si="3"/>
        <v>102</v>
      </c>
      <c r="C105" s="18" t="s">
        <v>207</v>
      </c>
      <c r="D105" s="34" t="s">
        <v>342</v>
      </c>
      <c r="E105" s="42"/>
      <c r="F105" s="116" t="s">
        <v>327</v>
      </c>
      <c r="G105" s="28">
        <f>ROUNDDOWN(IF(G53&gt;=G104,G53-G104,0),-3)</f>
        <v>0</v>
      </c>
      <c r="H105" s="29" t="s">
        <v>343</v>
      </c>
      <c r="I105" s="35"/>
    </row>
    <row r="106" spans="2:9" ht="29.25" customHeight="1">
      <c r="B106" s="113">
        <f t="shared" si="3"/>
        <v>103</v>
      </c>
      <c r="C106" s="43" t="s">
        <v>207</v>
      </c>
      <c r="D106" s="60"/>
      <c r="E106" s="45"/>
      <c r="F106" s="124"/>
      <c r="G106" s="45">
        <f>MAX(IF(G105&gt;=1,0,G104-G53),0)</f>
        <v>27901</v>
      </c>
      <c r="H106" s="46"/>
      <c r="I106" s="35"/>
    </row>
    <row r="107" spans="2:9" ht="42.6" customHeight="1">
      <c r="B107" s="113">
        <f t="shared" si="3"/>
        <v>104</v>
      </c>
      <c r="C107" s="18" t="s">
        <v>207</v>
      </c>
      <c r="D107" s="34" t="s">
        <v>344</v>
      </c>
      <c r="E107" s="42"/>
      <c r="F107" s="116" t="s">
        <v>327</v>
      </c>
      <c r="G107" s="28">
        <f>ROUNDDOWN(IF(G55&gt;=G106,G55-G106,0),-3)</f>
        <v>0</v>
      </c>
      <c r="H107" s="29" t="s">
        <v>345</v>
      </c>
      <c r="I107" s="35"/>
    </row>
    <row r="108" spans="2:9" ht="30.75" customHeight="1">
      <c r="B108" s="113">
        <f t="shared" si="3"/>
        <v>105</v>
      </c>
      <c r="C108" s="18" t="s">
        <v>346</v>
      </c>
      <c r="D108" s="36" t="s">
        <v>347</v>
      </c>
      <c r="E108" s="32"/>
      <c r="F108" s="116"/>
      <c r="G108" s="57">
        <f>SUM(G91,G107)</f>
        <v>0</v>
      </c>
      <c r="H108" s="29" t="s">
        <v>348</v>
      </c>
    </row>
    <row r="109" spans="2:9" ht="30.75" customHeight="1" thickBot="1">
      <c r="B109" s="113">
        <f t="shared" si="3"/>
        <v>106</v>
      </c>
      <c r="C109" s="18" t="s">
        <v>207</v>
      </c>
      <c r="D109" s="36" t="s">
        <v>349</v>
      </c>
      <c r="E109" s="32"/>
      <c r="F109" s="116"/>
      <c r="G109" s="101">
        <f>G105/5</f>
        <v>0</v>
      </c>
      <c r="H109" s="102" t="s">
        <v>350</v>
      </c>
    </row>
    <row r="110" spans="2:9" ht="87" customHeight="1">
      <c r="B110" s="113">
        <f t="shared" si="3"/>
        <v>107</v>
      </c>
      <c r="C110" s="18" t="s">
        <v>207</v>
      </c>
      <c r="D110" s="36" t="s">
        <v>351</v>
      </c>
      <c r="E110" s="32"/>
      <c r="F110" s="125"/>
      <c r="G110" s="105">
        <f>MAX(ROUNDDOWN(IF((E20+E21-G44)&lt;G95,(E20+E21-G44),G95),-3),0)</f>
        <v>0</v>
      </c>
      <c r="H110" s="104" t="s">
        <v>352</v>
      </c>
      <c r="I110" s="35"/>
    </row>
    <row r="111" spans="2:9" ht="46.9" customHeight="1">
      <c r="B111" s="113">
        <f t="shared" si="3"/>
        <v>108</v>
      </c>
      <c r="C111" s="18" t="s">
        <v>207</v>
      </c>
      <c r="D111" s="36" t="s">
        <v>353</v>
      </c>
      <c r="E111" s="32"/>
      <c r="F111" s="125"/>
      <c r="G111" s="106">
        <f>MAX(SUM(ROUNDDOWN(IF((E17-G49)&lt;G93,(E17-G49),G93),-3),G95-G110,G97,G99,G101,G103),0)</f>
        <v>0</v>
      </c>
      <c r="H111" s="104" t="s">
        <v>354</v>
      </c>
      <c r="I111" s="35"/>
    </row>
    <row r="112" spans="2:9" ht="30.75" customHeight="1" thickBot="1">
      <c r="B112" s="113">
        <f t="shared" si="3"/>
        <v>109</v>
      </c>
      <c r="C112" s="18" t="s">
        <v>207</v>
      </c>
      <c r="D112" s="36" t="s">
        <v>355</v>
      </c>
      <c r="E112" s="32"/>
      <c r="F112" s="125"/>
      <c r="G112" s="107">
        <f>ROUNDDOWN(G93-MAX(IF((E17-G49)&lt;G93,(E17-G49),G93),0),-3)</f>
        <v>0</v>
      </c>
      <c r="H112" s="104" t="s">
        <v>356</v>
      </c>
    </row>
    <row r="113" spans="2:9" ht="29.25" customHeight="1">
      <c r="B113" s="113">
        <f t="shared" si="3"/>
        <v>110</v>
      </c>
      <c r="C113" s="138" t="s">
        <v>357</v>
      </c>
      <c r="D113" s="138"/>
      <c r="E113" s="138"/>
      <c r="F113" s="138"/>
      <c r="G113" s="141"/>
      <c r="H113" s="141"/>
    </row>
    <row r="114" spans="2:9" ht="30.75" customHeight="1">
      <c r="B114" s="113">
        <f t="shared" si="3"/>
        <v>111</v>
      </c>
      <c r="C114" s="18" t="s">
        <v>207</v>
      </c>
      <c r="D114" s="36" t="s">
        <v>358</v>
      </c>
      <c r="E114" s="32"/>
      <c r="F114" s="126"/>
      <c r="G114" s="28">
        <f>1*(IF(G108&lt;1950000,G108*5%,IF(G108&lt;3300000,G108*0.1-97500,IF(G108&lt;6950000,G108*0.2-427500,IF(G108&lt;9000000,G108*0.23-636000,IF(G108&lt;18000000,G108*0.33-1536000,IF(G108&lt;40000000,G108*0.4-2796000,G108*0.45-4796000)))))))</f>
        <v>0</v>
      </c>
      <c r="H114" s="29"/>
    </row>
    <row r="115" spans="2:9" ht="27">
      <c r="B115" s="113">
        <f t="shared" si="3"/>
        <v>112</v>
      </c>
      <c r="C115" s="18" t="s">
        <v>207</v>
      </c>
      <c r="D115" s="36" t="s">
        <v>359</v>
      </c>
      <c r="E115" s="32"/>
      <c r="F115" s="126"/>
      <c r="G115" s="28">
        <f>1*(IF(G109&lt;1950000,G109*5%,IF(G109&lt;3300000,G109*0.1-97500,IF(G109&lt;6950000,G109*0.2-427500,IF(G109&lt;9000000,G109*0.23-636000,IF(G109&lt;18000000,G109*0.33-1536000,IF(G109&lt;40000000,G109*0.4-2796000,G109*0.45-4796000)))))))*5</f>
        <v>0</v>
      </c>
      <c r="H115" s="29"/>
    </row>
    <row r="116" spans="2:9" ht="35.25" customHeight="1">
      <c r="B116" s="113">
        <f t="shared" si="3"/>
        <v>113</v>
      </c>
      <c r="C116" s="18" t="s">
        <v>207</v>
      </c>
      <c r="D116" s="36" t="s">
        <v>360</v>
      </c>
      <c r="E116" s="32"/>
      <c r="F116" s="126"/>
      <c r="G116" s="28">
        <f>1*G110*0.1</f>
        <v>0</v>
      </c>
      <c r="H116" s="29"/>
    </row>
    <row r="117" spans="2:9" ht="30.75" customHeight="1">
      <c r="B117" s="113">
        <f t="shared" si="3"/>
        <v>114</v>
      </c>
      <c r="C117" s="18" t="s">
        <v>207</v>
      </c>
      <c r="D117" s="36" t="s">
        <v>361</v>
      </c>
      <c r="E117" s="32"/>
      <c r="F117" s="126"/>
      <c r="G117" s="28">
        <f>1*G111*0.15</f>
        <v>0</v>
      </c>
      <c r="H117" s="29"/>
    </row>
    <row r="118" spans="2:9" ht="30.75" customHeight="1">
      <c r="B118" s="113">
        <f t="shared" si="3"/>
        <v>115</v>
      </c>
      <c r="C118" s="18" t="s">
        <v>207</v>
      </c>
      <c r="D118" s="36" t="s">
        <v>362</v>
      </c>
      <c r="E118" s="32"/>
      <c r="F118" s="126"/>
      <c r="G118" s="28">
        <f>1*G112*0.3</f>
        <v>0</v>
      </c>
      <c r="H118" s="29"/>
    </row>
    <row r="119" spans="2:9" ht="30.75" customHeight="1">
      <c r="B119" s="113">
        <f t="shared" si="3"/>
        <v>116</v>
      </c>
      <c r="C119" s="18">
        <v>26</v>
      </c>
      <c r="D119" s="36" t="s">
        <v>363</v>
      </c>
      <c r="E119" s="26">
        <f>E11</f>
        <v>0</v>
      </c>
      <c r="F119" s="116" t="s">
        <v>364</v>
      </c>
      <c r="G119" s="28">
        <f>ROUNDUP(E119*0.1,0)</f>
        <v>0</v>
      </c>
      <c r="H119" s="29" t="s">
        <v>365</v>
      </c>
    </row>
    <row r="120" spans="2:9" ht="35.25" customHeight="1">
      <c r="B120" s="113">
        <f t="shared" si="3"/>
        <v>117</v>
      </c>
      <c r="C120" s="18">
        <v>103</v>
      </c>
      <c r="D120" s="36" t="s">
        <v>366</v>
      </c>
      <c r="E120" s="109"/>
      <c r="F120" s="122"/>
      <c r="G120" s="61"/>
      <c r="H120" s="29"/>
    </row>
    <row r="121" spans="2:9" ht="60" customHeight="1">
      <c r="B121" s="113">
        <f>B120+1</f>
        <v>118</v>
      </c>
      <c r="C121" s="18" t="s">
        <v>207</v>
      </c>
      <c r="D121" s="36" t="s">
        <v>367</v>
      </c>
      <c r="E121" s="32"/>
      <c r="F121" s="127"/>
      <c r="G121" s="57">
        <f>IF(SUM(G114:G118)-G119&gt;=0,IF(E120&gt;=1,0,SUM(G114:G118)-G119),0)</f>
        <v>0</v>
      </c>
      <c r="H121" s="62" t="s">
        <v>368</v>
      </c>
      <c r="I121" s="35"/>
    </row>
    <row r="122" spans="2:9">
      <c r="H122" s="63"/>
    </row>
    <row r="123" spans="2:9">
      <c r="H123" s="63"/>
    </row>
    <row r="124" spans="2:9" ht="31.5" customHeight="1">
      <c r="C124" s="64" t="s">
        <v>369</v>
      </c>
      <c r="D124" s="64"/>
      <c r="E124" s="64"/>
      <c r="F124" s="128"/>
      <c r="G124" s="64"/>
      <c r="H124" s="65"/>
    </row>
    <row r="125" spans="2:9" ht="42.75" customHeight="1" thickBot="1">
      <c r="B125" s="66" t="s">
        <v>200</v>
      </c>
      <c r="C125" s="19" t="s">
        <v>201</v>
      </c>
      <c r="D125" s="20" t="s">
        <v>177</v>
      </c>
      <c r="E125" s="19" t="s">
        <v>370</v>
      </c>
      <c r="F125" s="115" t="s">
        <v>371</v>
      </c>
      <c r="G125" s="67" t="s">
        <v>372</v>
      </c>
      <c r="H125" s="23" t="s">
        <v>205</v>
      </c>
    </row>
    <row r="126" spans="2:9" ht="39.950000000000003" customHeight="1" thickTop="1" thickBot="1">
      <c r="B126" s="18">
        <v>201</v>
      </c>
      <c r="C126" s="18" t="s">
        <v>207</v>
      </c>
      <c r="D126" s="36" t="s">
        <v>530</v>
      </c>
      <c r="E126" s="111">
        <v>1100</v>
      </c>
      <c r="F126" s="125" t="s">
        <v>216</v>
      </c>
      <c r="G126" s="68">
        <f>E126</f>
        <v>1100</v>
      </c>
      <c r="H126" s="69"/>
    </row>
    <row r="127" spans="2:9" ht="39.950000000000003" hidden="1" customHeight="1" thickTop="1">
      <c r="B127" s="18">
        <v>202</v>
      </c>
      <c r="C127" s="18">
        <v>124</v>
      </c>
      <c r="D127" s="30" t="s">
        <v>160</v>
      </c>
      <c r="E127" s="111">
        <v>1320</v>
      </c>
      <c r="F127" s="116"/>
      <c r="G127" s="70"/>
      <c r="H127" s="71"/>
    </row>
    <row r="128" spans="2:9" ht="39.950000000000003" hidden="1" customHeight="1" thickBot="1">
      <c r="B128" s="18">
        <v>203</v>
      </c>
      <c r="C128" s="18">
        <v>127</v>
      </c>
      <c r="D128" s="30" t="s">
        <v>162</v>
      </c>
      <c r="E128" s="111">
        <v>880</v>
      </c>
      <c r="F128" s="116"/>
      <c r="G128" s="72"/>
      <c r="H128" s="71"/>
    </row>
    <row r="129" spans="2:9" ht="39.950000000000003" customHeight="1" thickTop="1" thickBot="1">
      <c r="B129" s="18">
        <v>204</v>
      </c>
      <c r="C129" s="18" t="s">
        <v>207</v>
      </c>
      <c r="D129" s="36" t="s">
        <v>373</v>
      </c>
      <c r="E129" s="73">
        <f>SUM(IF(OR(E68=1,E68=2),1,0),E72:E74,E130)-E140</f>
        <v>0</v>
      </c>
      <c r="F129" s="125" t="s">
        <v>216</v>
      </c>
      <c r="G129" s="74">
        <f>E129</f>
        <v>0</v>
      </c>
      <c r="H129" s="62" t="s">
        <v>374</v>
      </c>
      <c r="I129" s="75"/>
    </row>
    <row r="130" spans="2:9" ht="39.950000000000003" customHeight="1" thickTop="1" thickBot="1">
      <c r="B130" s="18">
        <v>205</v>
      </c>
      <c r="C130" s="18">
        <v>84</v>
      </c>
      <c r="D130" s="30" t="s">
        <v>375</v>
      </c>
      <c r="E130" s="112"/>
      <c r="F130" s="116"/>
      <c r="G130" s="76"/>
      <c r="H130" s="33"/>
      <c r="I130" s="2"/>
    </row>
    <row r="131" spans="2:9" ht="39.950000000000003" customHeight="1" thickTop="1" thickBot="1">
      <c r="B131" s="18">
        <v>206</v>
      </c>
      <c r="C131" s="18" t="s">
        <v>207</v>
      </c>
      <c r="D131" s="34" t="s">
        <v>376</v>
      </c>
      <c r="E131" s="73">
        <f>E129+1</f>
        <v>1</v>
      </c>
      <c r="F131" s="125" t="s">
        <v>377</v>
      </c>
      <c r="G131" s="74">
        <f>E131*10000</f>
        <v>10000</v>
      </c>
      <c r="H131" s="62" t="s">
        <v>378</v>
      </c>
    </row>
    <row r="132" spans="2:9" ht="46.15" customHeight="1" thickTop="1" thickBot="1">
      <c r="B132" s="18">
        <v>207</v>
      </c>
      <c r="C132" s="18" t="s">
        <v>207</v>
      </c>
      <c r="D132" s="34" t="s">
        <v>379</v>
      </c>
      <c r="E132" s="26"/>
      <c r="F132" s="125"/>
      <c r="G132" s="77">
        <f>IF(E139&gt;18050000,0,IF(G131-G126&gt;0,G131-G126,0))</f>
        <v>8900</v>
      </c>
      <c r="H132" s="62" t="s">
        <v>380</v>
      </c>
    </row>
    <row r="133" spans="2:9" ht="39.950000000000003" customHeight="1" thickTop="1" thickBot="1">
      <c r="B133" s="18">
        <v>208</v>
      </c>
      <c r="C133" s="18" t="s">
        <v>207</v>
      </c>
      <c r="D133" s="34" t="s">
        <v>381</v>
      </c>
      <c r="E133" s="73">
        <f>IF(E141="",G121,E141)</f>
        <v>0</v>
      </c>
      <c r="F133" s="125" t="s">
        <v>216</v>
      </c>
      <c r="G133" s="74">
        <f>E133</f>
        <v>0</v>
      </c>
      <c r="H133" s="62" t="s">
        <v>382</v>
      </c>
    </row>
    <row r="134" spans="2:9" ht="60.6" customHeight="1" thickTop="1" thickBot="1">
      <c r="B134" s="18">
        <v>209</v>
      </c>
      <c r="C134" s="18" t="s">
        <v>207</v>
      </c>
      <c r="D134" s="36" t="s">
        <v>383</v>
      </c>
      <c r="E134" s="78">
        <f>IF(E142="",E129,E142-E140)</f>
        <v>0</v>
      </c>
      <c r="F134" s="125" t="s">
        <v>216</v>
      </c>
      <c r="G134" s="74">
        <f>E134</f>
        <v>0</v>
      </c>
      <c r="H134" s="62" t="s">
        <v>384</v>
      </c>
    </row>
    <row r="135" spans="2:9" ht="39.950000000000003" customHeight="1" thickTop="1" thickBot="1">
      <c r="B135" s="18">
        <v>210</v>
      </c>
      <c r="C135" s="18" t="s">
        <v>207</v>
      </c>
      <c r="D135" s="34" t="s">
        <v>385</v>
      </c>
      <c r="E135" s="73">
        <f>E134+1</f>
        <v>1</v>
      </c>
      <c r="F135" s="125" t="s">
        <v>386</v>
      </c>
      <c r="G135" s="74">
        <f>E135*30000</f>
        <v>30000</v>
      </c>
      <c r="H135" s="62" t="s">
        <v>387</v>
      </c>
    </row>
    <row r="136" spans="2:9" ht="73.150000000000006" customHeight="1" thickTop="1" thickBot="1">
      <c r="B136" s="18">
        <v>211</v>
      </c>
      <c r="C136" s="18" t="s">
        <v>207</v>
      </c>
      <c r="D136" s="34" t="s">
        <v>388</v>
      </c>
      <c r="E136" s="26"/>
      <c r="F136" s="125"/>
      <c r="G136" s="74">
        <f>IF(E143&lt;&gt;"",IF(E143&gt;18050000,0,IF(G135-G133&gt;0,G135-G133,0)),IF(G27&lt;&gt;"",IF(G27&gt;18050000,0,IF(G135-G133&gt;0,G135-G133,0)),IF(E139&gt;18050000,0,IF(G135-G133&gt;0,G135-G133,0))))</f>
        <v>30000</v>
      </c>
      <c r="H136" s="62" t="s">
        <v>389</v>
      </c>
    </row>
    <row r="137" spans="2:9" ht="39.950000000000003" customHeight="1" thickTop="1" thickBot="1">
      <c r="B137" s="18">
        <v>212</v>
      </c>
      <c r="C137" s="18" t="s">
        <v>207</v>
      </c>
      <c r="D137" s="34" t="s">
        <v>390</v>
      </c>
      <c r="E137" s="26"/>
      <c r="F137" s="125"/>
      <c r="G137" s="74">
        <f>IF(AND(G126=0,G133=0),0,G132+G136)</f>
        <v>38900</v>
      </c>
      <c r="H137" s="62" t="s">
        <v>391</v>
      </c>
    </row>
    <row r="138" spans="2:9" ht="39.950000000000003" customHeight="1" thickTop="1" thickBot="1">
      <c r="B138" s="18">
        <v>213</v>
      </c>
      <c r="C138" s="18" t="s">
        <v>207</v>
      </c>
      <c r="D138" s="34" t="s">
        <v>392</v>
      </c>
      <c r="E138" s="26"/>
      <c r="F138" s="125" t="s">
        <v>393</v>
      </c>
      <c r="G138" s="74">
        <f>ROUNDUP(G137,-4)</f>
        <v>40000</v>
      </c>
      <c r="H138" s="79" t="s">
        <v>394</v>
      </c>
    </row>
    <row r="139" spans="2:9" ht="39.950000000000003" customHeight="1" thickTop="1">
      <c r="B139" s="18">
        <v>214</v>
      </c>
      <c r="C139" s="18">
        <v>4</v>
      </c>
      <c r="D139" s="34" t="s">
        <v>395</v>
      </c>
      <c r="E139" s="112"/>
      <c r="F139" s="116"/>
      <c r="G139" s="80"/>
      <c r="H139" s="33" t="s">
        <v>396</v>
      </c>
    </row>
    <row r="140" spans="2:9" ht="52.9" customHeight="1">
      <c r="B140" s="18">
        <v>215</v>
      </c>
      <c r="C140" s="18" t="s">
        <v>397</v>
      </c>
      <c r="D140" s="36" t="s">
        <v>398</v>
      </c>
      <c r="E140" s="112"/>
      <c r="F140" s="116"/>
      <c r="G140" s="32"/>
      <c r="H140" s="33" t="s">
        <v>399</v>
      </c>
    </row>
    <row r="141" spans="2:9" ht="39.950000000000003" customHeight="1">
      <c r="B141" s="18">
        <v>216</v>
      </c>
      <c r="C141" s="18" t="s">
        <v>397</v>
      </c>
      <c r="D141" s="59" t="s">
        <v>400</v>
      </c>
      <c r="E141" s="112"/>
      <c r="F141" s="116"/>
      <c r="G141" s="32"/>
      <c r="H141" s="33" t="s">
        <v>401</v>
      </c>
    </row>
    <row r="142" spans="2:9" ht="50.45" customHeight="1">
      <c r="B142" s="18">
        <v>217</v>
      </c>
      <c r="C142" s="18" t="s">
        <v>397</v>
      </c>
      <c r="D142" s="36" t="s">
        <v>402</v>
      </c>
      <c r="E142" s="112"/>
      <c r="F142" s="116"/>
      <c r="G142" s="32"/>
      <c r="H142" s="33" t="s">
        <v>403</v>
      </c>
      <c r="I142" s="35"/>
    </row>
    <row r="143" spans="2:9" ht="39.950000000000003" customHeight="1">
      <c r="B143" s="18">
        <v>218</v>
      </c>
      <c r="C143" s="18" t="s">
        <v>397</v>
      </c>
      <c r="D143" s="34" t="s">
        <v>404</v>
      </c>
      <c r="E143" s="112"/>
      <c r="F143" s="116"/>
      <c r="G143" s="32"/>
      <c r="H143" s="33" t="s">
        <v>405</v>
      </c>
    </row>
  </sheetData>
  <sheetProtection algorithmName="SHA-512" hashValue="5t7xOZzwnayuvfVk09T9eeT/7PEYuOW1iUpHVpmMCHbTkZxlDmS+gCO9ngQD2bVgr9dlHqoxaQQ2UpwmeBBwWA==" saltValue="dDVuGf/92DCE0dLLdN6Jpw==" spinCount="100000" sheet="1" objects="1" scenarios="1" selectLockedCells="1" selectUnlockedCells="1"/>
  <mergeCells count="5">
    <mergeCell ref="C4:H4"/>
    <mergeCell ref="C57:H57"/>
    <mergeCell ref="H64:H67"/>
    <mergeCell ref="C90:H90"/>
    <mergeCell ref="C113:H113"/>
  </mergeCells>
  <phoneticPr fontId="1"/>
  <pageMargins left="0.7" right="0.7" top="0.75" bottom="0.75" header="0.3" footer="0.3"/>
  <pageSetup paperSize="9" scale="47" fitToHeight="0" orientation="portrait" r:id="rId1"/>
  <rowBreaks count="1" manualBreakCount="1">
    <brk id="123" min="1" max="7"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I143"/>
  <sheetViews>
    <sheetView showGridLines="0" zoomScale="85" zoomScaleNormal="85" zoomScaleSheetLayoutView="100" workbookViewId="0">
      <pane xSplit="2" ySplit="3" topLeftCell="D114" activePane="bottomRight" state="frozen"/>
      <selection activeCell="A127" sqref="A127:XFD128"/>
      <selection pane="topRight" activeCell="A127" sqref="A127:XFD128"/>
      <selection pane="bottomLeft" activeCell="A127" sqref="A127:XFD128"/>
      <selection pane="bottomRight" activeCell="E129" sqref="E129"/>
    </sheetView>
  </sheetViews>
  <sheetFormatPr defaultColWidth="9" defaultRowHeight="13.5"/>
  <cols>
    <col min="1" max="1" width="5.25" style="81" customWidth="1"/>
    <col min="2" max="2" width="5.25" style="15" customWidth="1"/>
    <col min="3" max="3" width="13.375" style="13" customWidth="1"/>
    <col min="4" max="4" width="40" style="14" customWidth="1"/>
    <col min="5" max="5" width="21.875" style="15" customWidth="1"/>
    <col min="6" max="6" width="21.875" style="114" customWidth="1"/>
    <col min="7" max="7" width="21.875" style="15" customWidth="1"/>
    <col min="8" max="8" width="45.375" style="16" customWidth="1"/>
    <col min="9" max="16384" width="9" style="15"/>
  </cols>
  <sheetData>
    <row r="1" spans="2:9" ht="24">
      <c r="B1" s="12" t="s">
        <v>198</v>
      </c>
    </row>
    <row r="2" spans="2:9" ht="36" customHeight="1">
      <c r="E2" s="17" t="s">
        <v>199</v>
      </c>
    </row>
    <row r="3" spans="2:9" ht="42.75" customHeight="1">
      <c r="B3" s="113" t="s">
        <v>200</v>
      </c>
      <c r="C3" s="19" t="s">
        <v>201</v>
      </c>
      <c r="D3" s="20" t="s">
        <v>177</v>
      </c>
      <c r="E3" s="21" t="s">
        <v>202</v>
      </c>
      <c r="F3" s="115" t="s">
        <v>203</v>
      </c>
      <c r="G3" s="22" t="s">
        <v>204</v>
      </c>
      <c r="H3" s="23" t="s">
        <v>205</v>
      </c>
    </row>
    <row r="4" spans="2:9" ht="30.75" customHeight="1">
      <c r="B4" s="113">
        <v>1</v>
      </c>
      <c r="C4" s="138" t="s">
        <v>206</v>
      </c>
      <c r="D4" s="138"/>
      <c r="E4" s="138"/>
      <c r="F4" s="138"/>
      <c r="G4" s="138"/>
      <c r="H4" s="138"/>
    </row>
    <row r="5" spans="2:9" ht="49.15" customHeight="1">
      <c r="B5" s="113">
        <f>B4+1</f>
        <v>2</v>
      </c>
      <c r="C5" s="24" t="s">
        <v>207</v>
      </c>
      <c r="D5" s="25" t="s">
        <v>208</v>
      </c>
      <c r="E5" s="26"/>
      <c r="F5" s="116"/>
      <c r="G5" s="28">
        <f>IF(SUM(E6:E11,G12,G13)&gt;=0,SUM(E6:E11,G12,G13),0)</f>
        <v>4672170</v>
      </c>
      <c r="H5" s="29" t="s">
        <v>209</v>
      </c>
    </row>
    <row r="6" spans="2:9" ht="30.75" customHeight="1">
      <c r="B6" s="113">
        <f t="shared" ref="B6:B69" si="0">B5+1</f>
        <v>3</v>
      </c>
      <c r="C6" s="24">
        <v>8</v>
      </c>
      <c r="D6" s="30" t="s">
        <v>210</v>
      </c>
      <c r="E6" s="109">
        <v>3834400</v>
      </c>
      <c r="F6" s="116"/>
      <c r="G6" s="32"/>
      <c r="H6" s="29"/>
    </row>
    <row r="7" spans="2:9" ht="30.75" customHeight="1">
      <c r="B7" s="113">
        <f t="shared" si="0"/>
        <v>4</v>
      </c>
      <c r="C7" s="24">
        <v>14</v>
      </c>
      <c r="D7" s="30" t="s">
        <v>211</v>
      </c>
      <c r="E7" s="109">
        <f>237770+600000</f>
        <v>837770</v>
      </c>
      <c r="F7" s="116"/>
      <c r="G7" s="32"/>
      <c r="H7" s="33"/>
    </row>
    <row r="8" spans="2:9" ht="30.75" customHeight="1">
      <c r="B8" s="113">
        <f t="shared" si="0"/>
        <v>5</v>
      </c>
      <c r="C8" s="24">
        <v>19</v>
      </c>
      <c r="D8" s="30" t="s">
        <v>63</v>
      </c>
      <c r="E8" s="109"/>
      <c r="F8" s="116"/>
      <c r="G8" s="32"/>
      <c r="H8" s="33"/>
    </row>
    <row r="9" spans="2:9" ht="30.75" customHeight="1">
      <c r="B9" s="113">
        <f t="shared" si="0"/>
        <v>6</v>
      </c>
      <c r="C9" s="24">
        <v>24</v>
      </c>
      <c r="D9" s="30" t="s">
        <v>65</v>
      </c>
      <c r="E9" s="109"/>
      <c r="F9" s="116"/>
      <c r="G9" s="32"/>
      <c r="H9" s="33"/>
    </row>
    <row r="10" spans="2:9" ht="30.75" customHeight="1">
      <c r="B10" s="113">
        <f t="shared" si="0"/>
        <v>7</v>
      </c>
      <c r="C10" s="24">
        <v>25</v>
      </c>
      <c r="D10" s="30" t="s">
        <v>67</v>
      </c>
      <c r="E10" s="109"/>
      <c r="F10" s="116"/>
      <c r="G10" s="32"/>
      <c r="H10" s="33"/>
    </row>
    <row r="11" spans="2:9" ht="30.75" customHeight="1">
      <c r="B11" s="113">
        <f t="shared" si="0"/>
        <v>8</v>
      </c>
      <c r="C11" s="24">
        <v>26</v>
      </c>
      <c r="D11" s="30" t="s">
        <v>69</v>
      </c>
      <c r="E11" s="109"/>
      <c r="F11" s="116"/>
      <c r="G11" s="32"/>
      <c r="H11" s="33"/>
    </row>
    <row r="12" spans="2:9" ht="54.6" customHeight="1">
      <c r="B12" s="113">
        <f t="shared" si="0"/>
        <v>9</v>
      </c>
      <c r="C12" s="24">
        <v>27</v>
      </c>
      <c r="D12" s="30" t="s">
        <v>71</v>
      </c>
      <c r="E12" s="109"/>
      <c r="F12" s="116" t="s">
        <v>212</v>
      </c>
      <c r="G12" s="28">
        <f>ROUNDDOWN(E12/2,0)</f>
        <v>0</v>
      </c>
      <c r="H12" s="8" t="s">
        <v>213</v>
      </c>
      <c r="I12" s="35"/>
    </row>
    <row r="13" spans="2:9" ht="30.75" customHeight="1">
      <c r="B13" s="113">
        <f t="shared" si="0"/>
        <v>10</v>
      </c>
      <c r="C13" s="24">
        <v>33</v>
      </c>
      <c r="D13" s="30" t="s">
        <v>73</v>
      </c>
      <c r="E13" s="109"/>
      <c r="F13" s="116" t="s">
        <v>212</v>
      </c>
      <c r="G13" s="28">
        <f>ROUNDDOWN(E13/2,0)</f>
        <v>0</v>
      </c>
      <c r="H13" s="8" t="s">
        <v>214</v>
      </c>
      <c r="I13" s="35"/>
    </row>
    <row r="14" spans="2:9" ht="30.75" customHeight="1">
      <c r="B14" s="113">
        <f t="shared" si="0"/>
        <v>11</v>
      </c>
      <c r="C14" s="18">
        <v>55</v>
      </c>
      <c r="D14" s="34" t="s">
        <v>215</v>
      </c>
      <c r="E14" s="109"/>
      <c r="F14" s="116" t="s">
        <v>216</v>
      </c>
      <c r="G14" s="28">
        <f>IF(E14&gt;=0,E14,0)</f>
        <v>0</v>
      </c>
      <c r="H14" s="8" t="s">
        <v>217</v>
      </c>
    </row>
    <row r="15" spans="2:9" ht="40.9" customHeight="1">
      <c r="B15" s="113">
        <f t="shared" si="0"/>
        <v>12</v>
      </c>
      <c r="C15" s="18" t="s">
        <v>207</v>
      </c>
      <c r="D15" s="34" t="s">
        <v>218</v>
      </c>
      <c r="E15" s="32">
        <f>SUM(E16,E17)</f>
        <v>0</v>
      </c>
      <c r="F15" s="116" t="s">
        <v>216</v>
      </c>
      <c r="G15" s="28">
        <f>IF(E15&gt;=0,E15,0)</f>
        <v>0</v>
      </c>
      <c r="H15" s="8" t="s">
        <v>219</v>
      </c>
      <c r="I15" s="35"/>
    </row>
    <row r="16" spans="2:9" ht="30.75" customHeight="1">
      <c r="B16" s="113">
        <f t="shared" si="0"/>
        <v>13</v>
      </c>
      <c r="C16" s="18">
        <v>47</v>
      </c>
      <c r="D16" s="30" t="s">
        <v>77</v>
      </c>
      <c r="E16" s="109"/>
      <c r="F16" s="116"/>
      <c r="G16" s="32"/>
      <c r="H16" s="8"/>
    </row>
    <row r="17" spans="2:9" ht="30.75" customHeight="1">
      <c r="B17" s="113">
        <f t="shared" si="0"/>
        <v>14</v>
      </c>
      <c r="C17" s="18">
        <v>49</v>
      </c>
      <c r="D17" s="30" t="s">
        <v>220</v>
      </c>
      <c r="E17" s="109"/>
      <c r="F17" s="116"/>
      <c r="G17" s="32"/>
      <c r="H17" s="8"/>
    </row>
    <row r="18" spans="2:9" ht="55.9" customHeight="1">
      <c r="B18" s="113">
        <f t="shared" si="0"/>
        <v>15</v>
      </c>
      <c r="C18" s="18" t="s">
        <v>207</v>
      </c>
      <c r="D18" s="34" t="s">
        <v>221</v>
      </c>
      <c r="E18" s="32">
        <f>SUM(E19,E20,E21)</f>
        <v>0</v>
      </c>
      <c r="F18" s="116" t="s">
        <v>216</v>
      </c>
      <c r="G18" s="28">
        <f>IF(E18&gt;=0,E18,0)</f>
        <v>0</v>
      </c>
      <c r="H18" s="8" t="s">
        <v>222</v>
      </c>
      <c r="I18" s="35"/>
    </row>
    <row r="19" spans="2:9" ht="30.75" customHeight="1">
      <c r="B19" s="113">
        <f t="shared" si="0"/>
        <v>16</v>
      </c>
      <c r="C19" s="18">
        <v>40</v>
      </c>
      <c r="D19" s="30" t="s">
        <v>81</v>
      </c>
      <c r="E19" s="109"/>
      <c r="F19" s="116"/>
      <c r="G19" s="32"/>
      <c r="H19" s="33"/>
    </row>
    <row r="20" spans="2:9" ht="30.75" customHeight="1">
      <c r="B20" s="113">
        <f t="shared" si="0"/>
        <v>17</v>
      </c>
      <c r="C20" s="18">
        <v>42</v>
      </c>
      <c r="D20" s="30" t="s">
        <v>223</v>
      </c>
      <c r="E20" s="109"/>
      <c r="F20" s="116"/>
      <c r="G20" s="32"/>
      <c r="H20" s="33"/>
    </row>
    <row r="21" spans="2:9" ht="30.75" customHeight="1">
      <c r="B21" s="113">
        <f t="shared" si="0"/>
        <v>18</v>
      </c>
      <c r="C21" s="18">
        <v>43</v>
      </c>
      <c r="D21" s="30" t="s">
        <v>224</v>
      </c>
      <c r="E21" s="109"/>
      <c r="F21" s="116"/>
      <c r="G21" s="32"/>
      <c r="H21" s="33"/>
    </row>
    <row r="22" spans="2:9" ht="30.75" customHeight="1">
      <c r="B22" s="113">
        <f t="shared" si="0"/>
        <v>19</v>
      </c>
      <c r="C22" s="18">
        <v>53</v>
      </c>
      <c r="D22" s="34" t="s">
        <v>87</v>
      </c>
      <c r="E22" s="109"/>
      <c r="F22" s="116" t="s">
        <v>216</v>
      </c>
      <c r="G22" s="28">
        <f>IF(E22&gt;=0,E22,0)</f>
        <v>0</v>
      </c>
      <c r="H22" s="40" t="s">
        <v>225</v>
      </c>
    </row>
    <row r="23" spans="2:9" ht="43.15" customHeight="1">
      <c r="B23" s="113">
        <f t="shared" si="0"/>
        <v>20</v>
      </c>
      <c r="C23" s="18">
        <v>54</v>
      </c>
      <c r="D23" s="34" t="s">
        <v>89</v>
      </c>
      <c r="E23" s="109"/>
      <c r="F23" s="116" t="s">
        <v>216</v>
      </c>
      <c r="G23" s="98">
        <f>IF(E23&gt;=0,E23,0)</f>
        <v>0</v>
      </c>
      <c r="H23" s="8" t="s">
        <v>529</v>
      </c>
    </row>
    <row r="24" spans="2:9" ht="30.75" customHeight="1">
      <c r="B24" s="113">
        <f t="shared" si="0"/>
        <v>21</v>
      </c>
      <c r="C24" s="18">
        <v>56</v>
      </c>
      <c r="D24" s="34" t="s">
        <v>91</v>
      </c>
      <c r="E24" s="109"/>
      <c r="F24" s="116" t="s">
        <v>216</v>
      </c>
      <c r="G24" s="28">
        <f>IF(E24&gt;=0,E24,0)</f>
        <v>0</v>
      </c>
      <c r="H24" s="99" t="s">
        <v>225</v>
      </c>
    </row>
    <row r="25" spans="2:9" ht="30.75" customHeight="1">
      <c r="B25" s="113">
        <f t="shared" si="0"/>
        <v>22</v>
      </c>
      <c r="C25" s="18">
        <v>34</v>
      </c>
      <c r="D25" s="34" t="s">
        <v>226</v>
      </c>
      <c r="E25" s="109"/>
      <c r="F25" s="116" t="s">
        <v>216</v>
      </c>
      <c r="G25" s="28">
        <f>E25</f>
        <v>0</v>
      </c>
      <c r="H25" s="33" t="s">
        <v>227</v>
      </c>
    </row>
    <row r="26" spans="2:9" ht="30.75" customHeight="1">
      <c r="B26" s="113">
        <f t="shared" si="0"/>
        <v>23</v>
      </c>
      <c r="C26" s="18">
        <v>35</v>
      </c>
      <c r="D26" s="34" t="s">
        <v>228</v>
      </c>
      <c r="E26" s="109"/>
      <c r="F26" s="116" t="s">
        <v>216</v>
      </c>
      <c r="G26" s="28">
        <f>E26</f>
        <v>0</v>
      </c>
      <c r="H26" s="33" t="s">
        <v>229</v>
      </c>
    </row>
    <row r="27" spans="2:9" ht="30.75" customHeight="1">
      <c r="B27" s="113">
        <f t="shared" si="0"/>
        <v>24</v>
      </c>
      <c r="C27" s="18" t="s">
        <v>207</v>
      </c>
      <c r="D27" s="34" t="s">
        <v>230</v>
      </c>
      <c r="E27" s="32"/>
      <c r="F27" s="116"/>
      <c r="G27" s="28">
        <f>IF(AND(E6="",E7="",E8="",E9="",E10="",E11="",E12="",E13="",E14="",E16="",E17="",E19="",E20="",E21="",E22="",E23="",E24="",E25="",E26=""),"",MAX(SUM(G5,G14:G15,G18,G22:G26),0))</f>
        <v>4672170</v>
      </c>
      <c r="H27" s="29" t="s">
        <v>231</v>
      </c>
      <c r="I27" s="35"/>
    </row>
    <row r="28" spans="2:9" ht="30.75" customHeight="1">
      <c r="B28" s="113">
        <f t="shared" si="0"/>
        <v>25</v>
      </c>
      <c r="C28" s="18">
        <v>63</v>
      </c>
      <c r="D28" s="36" t="s">
        <v>232</v>
      </c>
      <c r="E28" s="109"/>
      <c r="F28" s="116" t="s">
        <v>216</v>
      </c>
      <c r="G28" s="28">
        <f t="shared" ref="G28:G34" si="1">E28</f>
        <v>0</v>
      </c>
      <c r="H28" s="33"/>
    </row>
    <row r="29" spans="2:9" ht="30.75" customHeight="1">
      <c r="B29" s="113">
        <f t="shared" si="0"/>
        <v>26</v>
      </c>
      <c r="C29" s="18">
        <v>69</v>
      </c>
      <c r="D29" s="36" t="s">
        <v>233</v>
      </c>
      <c r="E29" s="109"/>
      <c r="F29" s="116" t="s">
        <v>216</v>
      </c>
      <c r="G29" s="28">
        <f t="shared" si="1"/>
        <v>0</v>
      </c>
      <c r="H29" s="33"/>
    </row>
    <row r="30" spans="2:9" ht="30.75" customHeight="1">
      <c r="B30" s="113">
        <f t="shared" si="0"/>
        <v>27</v>
      </c>
      <c r="C30" s="18">
        <v>64</v>
      </c>
      <c r="D30" s="36" t="s">
        <v>234</v>
      </c>
      <c r="E30" s="109"/>
      <c r="F30" s="116" t="s">
        <v>216</v>
      </c>
      <c r="G30" s="28">
        <f t="shared" si="1"/>
        <v>0</v>
      </c>
      <c r="H30" s="33"/>
    </row>
    <row r="31" spans="2:9" ht="30.75" customHeight="1">
      <c r="B31" s="113">
        <f t="shared" si="0"/>
        <v>28</v>
      </c>
      <c r="C31" s="18">
        <v>65</v>
      </c>
      <c r="D31" s="36" t="s">
        <v>235</v>
      </c>
      <c r="E31" s="109"/>
      <c r="F31" s="116" t="s">
        <v>216</v>
      </c>
      <c r="G31" s="28">
        <f t="shared" si="1"/>
        <v>0</v>
      </c>
      <c r="H31" s="33"/>
    </row>
    <row r="32" spans="2:9" ht="30.75" customHeight="1">
      <c r="B32" s="113">
        <f t="shared" si="0"/>
        <v>29</v>
      </c>
      <c r="C32" s="18">
        <v>66</v>
      </c>
      <c r="D32" s="36" t="s">
        <v>236</v>
      </c>
      <c r="E32" s="109"/>
      <c r="F32" s="116" t="s">
        <v>216</v>
      </c>
      <c r="G32" s="28">
        <f t="shared" si="1"/>
        <v>0</v>
      </c>
      <c r="H32" s="33"/>
    </row>
    <row r="33" spans="2:9" ht="30.75" customHeight="1">
      <c r="B33" s="113">
        <f t="shared" si="0"/>
        <v>30</v>
      </c>
      <c r="C33" s="18">
        <v>67</v>
      </c>
      <c r="D33" s="36" t="s">
        <v>237</v>
      </c>
      <c r="E33" s="109"/>
      <c r="F33" s="116" t="s">
        <v>216</v>
      </c>
      <c r="G33" s="28">
        <f t="shared" si="1"/>
        <v>0</v>
      </c>
      <c r="H33" s="33"/>
    </row>
    <row r="34" spans="2:9" ht="30.75" customHeight="1">
      <c r="B34" s="113">
        <f t="shared" si="0"/>
        <v>31</v>
      </c>
      <c r="C34" s="37">
        <v>68</v>
      </c>
      <c r="D34" s="38" t="s">
        <v>238</v>
      </c>
      <c r="E34" s="110"/>
      <c r="F34" s="117" t="s">
        <v>216</v>
      </c>
      <c r="G34" s="39">
        <f t="shared" si="1"/>
        <v>0</v>
      </c>
      <c r="H34" s="40"/>
    </row>
    <row r="35" spans="2:9" ht="42.6" customHeight="1">
      <c r="B35" s="113">
        <f t="shared" si="0"/>
        <v>32</v>
      </c>
      <c r="C35" s="18" t="s">
        <v>207</v>
      </c>
      <c r="D35" s="41" t="s">
        <v>239</v>
      </c>
      <c r="E35" s="42"/>
      <c r="F35" s="116"/>
      <c r="G35" s="28">
        <f>IF(G22&gt;=G33,(G22-G33),0)</f>
        <v>0</v>
      </c>
      <c r="H35" s="29" t="s">
        <v>240</v>
      </c>
    </row>
    <row r="36" spans="2:9" ht="30.75" customHeight="1">
      <c r="B36" s="113">
        <f t="shared" si="0"/>
        <v>33</v>
      </c>
      <c r="C36" s="43" t="s">
        <v>207</v>
      </c>
      <c r="D36" s="44" t="s">
        <v>241</v>
      </c>
      <c r="E36" s="45"/>
      <c r="F36" s="118"/>
      <c r="G36" s="45">
        <f>IF(G35&gt;=1,0,G33-G22)</f>
        <v>0</v>
      </c>
      <c r="H36" s="46"/>
      <c r="I36" s="35"/>
    </row>
    <row r="37" spans="2:9" ht="76.150000000000006" customHeight="1">
      <c r="B37" s="113">
        <f t="shared" si="0"/>
        <v>34</v>
      </c>
      <c r="C37" s="18" t="s">
        <v>207</v>
      </c>
      <c r="D37" s="41" t="s">
        <v>242</v>
      </c>
      <c r="E37" s="42"/>
      <c r="F37" s="116"/>
      <c r="G37" s="28">
        <f>IF(G23&gt;=SUM(G32,G36),G23-SUM(G32,G36),0)</f>
        <v>0</v>
      </c>
      <c r="H37" s="29" t="s">
        <v>243</v>
      </c>
    </row>
    <row r="38" spans="2:9" ht="30.75" customHeight="1">
      <c r="B38" s="113">
        <f t="shared" si="0"/>
        <v>35</v>
      </c>
      <c r="C38" s="43" t="s">
        <v>207</v>
      </c>
      <c r="D38" s="44" t="s">
        <v>241</v>
      </c>
      <c r="E38" s="45"/>
      <c r="F38" s="118"/>
      <c r="G38" s="45">
        <f>IF(G37&gt;=1,0,SUM(G32,G36)-G23)</f>
        <v>0</v>
      </c>
      <c r="H38" s="47"/>
      <c r="I38" s="35"/>
    </row>
    <row r="39" spans="2:9" ht="34.15" customHeight="1">
      <c r="B39" s="113">
        <f t="shared" si="0"/>
        <v>36</v>
      </c>
      <c r="C39" s="18" t="s">
        <v>207</v>
      </c>
      <c r="D39" s="41" t="s">
        <v>244</v>
      </c>
      <c r="E39" s="42"/>
      <c r="F39" s="116"/>
      <c r="G39" s="28">
        <f>IF(G14&gt;=G38,G14-G38,0)</f>
        <v>0</v>
      </c>
      <c r="H39" s="29" t="s">
        <v>245</v>
      </c>
    </row>
    <row r="40" spans="2:9" ht="34.5" customHeight="1">
      <c r="B40" s="113">
        <f t="shared" si="0"/>
        <v>37</v>
      </c>
      <c r="C40" s="18" t="s">
        <v>207</v>
      </c>
      <c r="D40" s="41" t="s">
        <v>246</v>
      </c>
      <c r="E40" s="42"/>
      <c r="F40" s="116"/>
      <c r="G40" s="28">
        <f>IF(G24&gt;=G34,G24-G34,0)</f>
        <v>0</v>
      </c>
      <c r="H40" s="29" t="s">
        <v>247</v>
      </c>
    </row>
    <row r="41" spans="2:9" ht="42.6" customHeight="1">
      <c r="B41" s="113">
        <f t="shared" si="0"/>
        <v>38</v>
      </c>
      <c r="C41" s="48" t="s">
        <v>207</v>
      </c>
      <c r="D41" s="49" t="s">
        <v>248</v>
      </c>
      <c r="E41" s="50"/>
      <c r="F41" s="119"/>
      <c r="G41" s="51">
        <f>IF(G18&gt;=SUM(G30:G31),G18-SUM(G30:G31),0)</f>
        <v>0</v>
      </c>
      <c r="H41" s="52" t="s">
        <v>249</v>
      </c>
    </row>
    <row r="42" spans="2:9" ht="30.75" customHeight="1">
      <c r="B42" s="113">
        <f t="shared" si="0"/>
        <v>39</v>
      </c>
      <c r="C42" s="43" t="s">
        <v>207</v>
      </c>
      <c r="D42" s="44" t="s">
        <v>241</v>
      </c>
      <c r="E42" s="45"/>
      <c r="F42" s="118"/>
      <c r="G42" s="45">
        <f>IF(G41&gt;=1,0,SUM(G30:G31)-G18)</f>
        <v>0</v>
      </c>
      <c r="H42" s="47"/>
    </row>
    <row r="43" spans="2:9" ht="30.75" customHeight="1">
      <c r="B43" s="113">
        <f t="shared" si="0"/>
        <v>40</v>
      </c>
      <c r="C43" s="18">
        <v>41</v>
      </c>
      <c r="D43" s="30" t="s">
        <v>250</v>
      </c>
      <c r="E43" s="109"/>
      <c r="F43" s="116" t="s">
        <v>216</v>
      </c>
      <c r="G43" s="28">
        <f>E43</f>
        <v>0</v>
      </c>
      <c r="H43" s="53"/>
    </row>
    <row r="44" spans="2:9" ht="30.75" customHeight="1">
      <c r="B44" s="113">
        <f t="shared" si="0"/>
        <v>41</v>
      </c>
      <c r="C44" s="18">
        <v>44</v>
      </c>
      <c r="D44" s="30" t="s">
        <v>113</v>
      </c>
      <c r="E44" s="109"/>
      <c r="F44" s="116" t="s">
        <v>216</v>
      </c>
      <c r="G44" s="28">
        <f>E44</f>
        <v>0</v>
      </c>
      <c r="H44" s="53"/>
    </row>
    <row r="45" spans="2:9" ht="43.15" customHeight="1">
      <c r="B45" s="113">
        <f t="shared" si="0"/>
        <v>42</v>
      </c>
      <c r="C45" s="18" t="s">
        <v>207</v>
      </c>
      <c r="D45" s="49" t="s">
        <v>251</v>
      </c>
      <c r="E45" s="32"/>
      <c r="F45" s="116"/>
      <c r="G45" s="28">
        <f>IF(G41-SUM(G43:G44)&gt;=0,G41-SUM(G43:G44),0)</f>
        <v>0</v>
      </c>
      <c r="H45" s="33" t="s">
        <v>252</v>
      </c>
    </row>
    <row r="46" spans="2:9" ht="43.15" customHeight="1">
      <c r="B46" s="113">
        <f t="shared" si="0"/>
        <v>43</v>
      </c>
      <c r="C46" s="18" t="s">
        <v>207</v>
      </c>
      <c r="D46" s="41" t="s">
        <v>253</v>
      </c>
      <c r="E46" s="42"/>
      <c r="F46" s="116"/>
      <c r="G46" s="28">
        <f>IF(G15&gt;=G42,G15-G42,0)</f>
        <v>0</v>
      </c>
      <c r="H46" s="29" t="s">
        <v>254</v>
      </c>
    </row>
    <row r="47" spans="2:9" ht="30.75" customHeight="1">
      <c r="B47" s="113">
        <f t="shared" si="0"/>
        <v>44</v>
      </c>
      <c r="C47" s="43" t="s">
        <v>207</v>
      </c>
      <c r="D47" s="44" t="s">
        <v>241</v>
      </c>
      <c r="E47" s="45"/>
      <c r="F47" s="118"/>
      <c r="G47" s="45">
        <f>IF(G46&gt;=1,0,G42-G15)</f>
        <v>0</v>
      </c>
      <c r="H47" s="47"/>
    </row>
    <row r="48" spans="2:9" ht="30.75" customHeight="1">
      <c r="B48" s="113">
        <f t="shared" si="0"/>
        <v>45</v>
      </c>
      <c r="C48" s="18">
        <v>48</v>
      </c>
      <c r="D48" s="30" t="s">
        <v>115</v>
      </c>
      <c r="E48" s="31"/>
      <c r="F48" s="116" t="s">
        <v>216</v>
      </c>
      <c r="G48" s="28">
        <f>E48</f>
        <v>0</v>
      </c>
      <c r="H48" s="53"/>
    </row>
    <row r="49" spans="2:9" ht="30.75" customHeight="1">
      <c r="B49" s="113">
        <f t="shared" si="0"/>
        <v>46</v>
      </c>
      <c r="C49" s="18">
        <v>50</v>
      </c>
      <c r="D49" s="30" t="s">
        <v>117</v>
      </c>
      <c r="E49" s="31"/>
      <c r="F49" s="116" t="s">
        <v>216</v>
      </c>
      <c r="G49" s="28">
        <f>E49</f>
        <v>0</v>
      </c>
      <c r="H49" s="53"/>
    </row>
    <row r="50" spans="2:9" ht="46.15" customHeight="1">
      <c r="B50" s="113">
        <f t="shared" si="0"/>
        <v>47</v>
      </c>
      <c r="C50" s="18" t="s">
        <v>207</v>
      </c>
      <c r="D50" s="49" t="s">
        <v>255</v>
      </c>
      <c r="E50" s="32"/>
      <c r="F50" s="116"/>
      <c r="G50" s="28">
        <f>IF(G46-SUM(G48:G49)&gt;=0,G46-SUM(G48:G49),0)</f>
        <v>0</v>
      </c>
      <c r="H50" s="33" t="s">
        <v>256</v>
      </c>
    </row>
    <row r="51" spans="2:9" ht="47.25" customHeight="1">
      <c r="B51" s="113">
        <f t="shared" si="0"/>
        <v>48</v>
      </c>
      <c r="C51" s="18" t="s">
        <v>207</v>
      </c>
      <c r="D51" s="41" t="s">
        <v>257</v>
      </c>
      <c r="E51" s="42"/>
      <c r="F51" s="116"/>
      <c r="G51" s="28">
        <f>IF(G5&gt;=SUM(G28:G29,G47),G5-SUM(G28:G29,G47),0)</f>
        <v>4672170</v>
      </c>
      <c r="H51" s="29" t="s">
        <v>258</v>
      </c>
      <c r="I51" s="35"/>
    </row>
    <row r="52" spans="2:9" ht="30.75" customHeight="1">
      <c r="B52" s="113">
        <f t="shared" si="0"/>
        <v>49</v>
      </c>
      <c r="C52" s="43" t="s">
        <v>207</v>
      </c>
      <c r="D52" s="44" t="s">
        <v>241</v>
      </c>
      <c r="E52" s="45"/>
      <c r="F52" s="118"/>
      <c r="G52" s="45">
        <f>IF(G51&gt;=1,0,SUM(G28:G29,G47)-G5)</f>
        <v>0</v>
      </c>
      <c r="H52" s="47"/>
    </row>
    <row r="53" spans="2:9" ht="42.6" customHeight="1">
      <c r="B53" s="113">
        <f t="shared" si="0"/>
        <v>50</v>
      </c>
      <c r="C53" s="18" t="s">
        <v>207</v>
      </c>
      <c r="D53" s="41" t="s">
        <v>259</v>
      </c>
      <c r="E53" s="42"/>
      <c r="F53" s="116"/>
      <c r="G53" s="28">
        <f>IF(G25&gt;=G52,G25-G52,0)</f>
        <v>0</v>
      </c>
      <c r="H53" s="29" t="s">
        <v>260</v>
      </c>
    </row>
    <row r="54" spans="2:9" ht="30.75" customHeight="1">
      <c r="B54" s="113">
        <f t="shared" si="0"/>
        <v>51</v>
      </c>
      <c r="C54" s="43" t="s">
        <v>207</v>
      </c>
      <c r="D54" s="54" t="s">
        <v>241</v>
      </c>
      <c r="E54" s="45"/>
      <c r="F54" s="118"/>
      <c r="G54" s="45">
        <f>IF(G53&gt;=1,0,(G52-G25))</f>
        <v>0</v>
      </c>
      <c r="H54" s="47"/>
      <c r="I54" s="35"/>
    </row>
    <row r="55" spans="2:9" ht="42.6" customHeight="1">
      <c r="B55" s="113">
        <f t="shared" si="0"/>
        <v>52</v>
      </c>
      <c r="C55" s="18" t="s">
        <v>207</v>
      </c>
      <c r="D55" s="41" t="s">
        <v>261</v>
      </c>
      <c r="E55" s="42"/>
      <c r="F55" s="116"/>
      <c r="G55" s="28">
        <f>IF(G26&gt;=G54,G26-G54,0)</f>
        <v>0</v>
      </c>
      <c r="H55" s="29" t="s">
        <v>262</v>
      </c>
    </row>
    <row r="56" spans="2:9" ht="30.75" customHeight="1">
      <c r="B56" s="113">
        <f t="shared" si="0"/>
        <v>53</v>
      </c>
      <c r="C56" s="43" t="s">
        <v>207</v>
      </c>
      <c r="D56" s="44" t="s">
        <v>241</v>
      </c>
      <c r="E56" s="45"/>
      <c r="F56" s="118"/>
      <c r="G56" s="45">
        <f>IF(G55&gt;=1,0,(G54-G26))</f>
        <v>0</v>
      </c>
      <c r="H56" s="47"/>
      <c r="I56" s="35"/>
    </row>
    <row r="57" spans="2:9" ht="30" customHeight="1">
      <c r="B57" s="113">
        <f t="shared" si="0"/>
        <v>54</v>
      </c>
      <c r="C57" s="139" t="s">
        <v>263</v>
      </c>
      <c r="D57" s="139"/>
      <c r="E57" s="139"/>
      <c r="F57" s="139"/>
      <c r="G57" s="139"/>
      <c r="H57" s="139"/>
    </row>
    <row r="58" spans="2:9" ht="30.75" customHeight="1">
      <c r="B58" s="113">
        <f t="shared" si="0"/>
        <v>55</v>
      </c>
      <c r="C58" s="18">
        <v>70</v>
      </c>
      <c r="D58" s="34" t="s">
        <v>264</v>
      </c>
      <c r="E58" s="109"/>
      <c r="F58" s="116" t="s">
        <v>216</v>
      </c>
      <c r="G58" s="28">
        <f>E58</f>
        <v>0</v>
      </c>
      <c r="H58" s="53" t="s">
        <v>265</v>
      </c>
    </row>
    <row r="59" spans="2:9" ht="30.75" customHeight="1">
      <c r="B59" s="113">
        <f t="shared" si="0"/>
        <v>56</v>
      </c>
      <c r="C59" s="18">
        <v>71</v>
      </c>
      <c r="D59" s="34" t="s">
        <v>266</v>
      </c>
      <c r="E59" s="109"/>
      <c r="F59" s="116" t="s">
        <v>216</v>
      </c>
      <c r="G59" s="28">
        <f t="shared" ref="G59:G61" si="2">E59</f>
        <v>0</v>
      </c>
      <c r="H59" s="55" t="s">
        <v>265</v>
      </c>
    </row>
    <row r="60" spans="2:9" ht="30.75" customHeight="1">
      <c r="B60" s="113">
        <f t="shared" si="0"/>
        <v>57</v>
      </c>
      <c r="C60" s="18">
        <v>72</v>
      </c>
      <c r="D60" s="34" t="s">
        <v>267</v>
      </c>
      <c r="E60" s="109"/>
      <c r="F60" s="116" t="s">
        <v>216</v>
      </c>
      <c r="G60" s="28">
        <f t="shared" si="2"/>
        <v>0</v>
      </c>
      <c r="H60" s="55" t="s">
        <v>265</v>
      </c>
    </row>
    <row r="61" spans="2:9" ht="30.75" customHeight="1">
      <c r="B61" s="113">
        <f t="shared" si="0"/>
        <v>58</v>
      </c>
      <c r="C61" s="18">
        <v>73</v>
      </c>
      <c r="D61" s="34" t="s">
        <v>268</v>
      </c>
      <c r="E61" s="109">
        <v>989288</v>
      </c>
      <c r="F61" s="116" t="s">
        <v>216</v>
      </c>
      <c r="G61" s="28">
        <f t="shared" si="2"/>
        <v>989288</v>
      </c>
      <c r="H61" s="55" t="s">
        <v>265</v>
      </c>
    </row>
    <row r="62" spans="2:9" ht="94.5">
      <c r="B62" s="113">
        <f t="shared" si="0"/>
        <v>59</v>
      </c>
      <c r="C62" s="18">
        <v>74</v>
      </c>
      <c r="D62" s="34" t="s">
        <v>269</v>
      </c>
      <c r="E62" s="109">
        <v>63000</v>
      </c>
      <c r="F62" s="116" t="s">
        <v>270</v>
      </c>
      <c r="G62" s="28">
        <f>E62*4/2.8</f>
        <v>90000</v>
      </c>
      <c r="H62" s="29" t="s">
        <v>271</v>
      </c>
      <c r="I62" s="35"/>
    </row>
    <row r="63" spans="2:9" ht="40.5">
      <c r="B63" s="113">
        <f t="shared" si="0"/>
        <v>60</v>
      </c>
      <c r="C63" s="18">
        <v>75</v>
      </c>
      <c r="D63" s="34" t="s">
        <v>272</v>
      </c>
      <c r="E63" s="109">
        <v>3290</v>
      </c>
      <c r="F63" s="116" t="s">
        <v>273</v>
      </c>
      <c r="G63" s="28">
        <f>E63*2</f>
        <v>6580</v>
      </c>
      <c r="H63" s="29" t="s">
        <v>274</v>
      </c>
    </row>
    <row r="64" spans="2:9" ht="41.45" customHeight="1">
      <c r="B64" s="113">
        <f t="shared" si="0"/>
        <v>61</v>
      </c>
      <c r="C64" s="18">
        <v>76</v>
      </c>
      <c r="D64" s="34" t="s">
        <v>275</v>
      </c>
      <c r="E64" s="109"/>
      <c r="F64" s="116"/>
      <c r="G64" s="32"/>
      <c r="H64" s="140" t="s">
        <v>276</v>
      </c>
    </row>
    <row r="65" spans="2:8" ht="41.45" customHeight="1">
      <c r="B65" s="113">
        <f t="shared" si="0"/>
        <v>62</v>
      </c>
      <c r="C65" s="18" t="s">
        <v>207</v>
      </c>
      <c r="D65" s="30" t="s">
        <v>277</v>
      </c>
      <c r="E65" s="32"/>
      <c r="F65" s="116"/>
      <c r="G65" s="28">
        <f>IF(G27&lt;=9000000,IF(E64=330000,380000,E64),0)</f>
        <v>0</v>
      </c>
      <c r="H65" s="140"/>
    </row>
    <row r="66" spans="2:8" ht="41.45" customHeight="1">
      <c r="B66" s="113">
        <f t="shared" si="0"/>
        <v>63</v>
      </c>
      <c r="C66" s="18" t="s">
        <v>207</v>
      </c>
      <c r="D66" s="56" t="s">
        <v>278</v>
      </c>
      <c r="E66" s="32"/>
      <c r="F66" s="116"/>
      <c r="G66" s="28">
        <f>IF(AND(9000000&lt;G27,G27&lt;=9500000),IF(E64=220000,260000,E64),0)</f>
        <v>0</v>
      </c>
      <c r="H66" s="140"/>
    </row>
    <row r="67" spans="2:8" ht="41.45" customHeight="1">
      <c r="B67" s="113">
        <f t="shared" si="0"/>
        <v>64</v>
      </c>
      <c r="C67" s="18" t="s">
        <v>207</v>
      </c>
      <c r="D67" s="56" t="s">
        <v>279</v>
      </c>
      <c r="E67" s="32"/>
      <c r="F67" s="116"/>
      <c r="G67" s="28">
        <f>IF(AND(9500000&lt;G27,G27&lt;=10000000),IF(E64=110000,130000,E64),0)</f>
        <v>0</v>
      </c>
      <c r="H67" s="140"/>
    </row>
    <row r="68" spans="2:8" ht="30.75" customHeight="1">
      <c r="B68" s="113">
        <f t="shared" si="0"/>
        <v>65</v>
      </c>
      <c r="C68" s="18">
        <v>77</v>
      </c>
      <c r="D68" s="34" t="s">
        <v>280</v>
      </c>
      <c r="E68" s="109"/>
      <c r="F68" s="116"/>
      <c r="G68" s="32"/>
      <c r="H68" s="29"/>
    </row>
    <row r="69" spans="2:8" ht="30.75" customHeight="1">
      <c r="B69" s="113">
        <f t="shared" si="0"/>
        <v>66</v>
      </c>
      <c r="C69" s="18" t="s">
        <v>207</v>
      </c>
      <c r="D69" s="30" t="s">
        <v>281</v>
      </c>
      <c r="E69" s="32"/>
      <c r="F69" s="120" t="s">
        <v>282</v>
      </c>
      <c r="G69" s="28">
        <f>IF(E68=1,IF(G27&lt;=9000000,380000,IF(G27&lt;=9500000,260000,IF(G27&lt;=10000000,130000,0))),0)</f>
        <v>0</v>
      </c>
      <c r="H69" s="29" t="s">
        <v>283</v>
      </c>
    </row>
    <row r="70" spans="2:8" ht="30.75" customHeight="1">
      <c r="B70" s="113">
        <f t="shared" ref="B70:B120" si="3">B69+1</f>
        <v>67</v>
      </c>
      <c r="C70" s="18" t="s">
        <v>207</v>
      </c>
      <c r="D70" s="30" t="s">
        <v>284</v>
      </c>
      <c r="E70" s="32"/>
      <c r="F70" s="120" t="s">
        <v>285</v>
      </c>
      <c r="G70" s="28">
        <f>IF(E68=2,IF(G27&lt;=9000000,480000,IF(G27&lt;=9500000,320000,IF(G27&lt;=10000000,160000,0))),0)</f>
        <v>0</v>
      </c>
      <c r="H70" s="29" t="s">
        <v>286</v>
      </c>
    </row>
    <row r="71" spans="2:8" ht="30.75" customHeight="1">
      <c r="B71" s="113">
        <f t="shared" si="3"/>
        <v>68</v>
      </c>
      <c r="C71" s="18" t="s">
        <v>207</v>
      </c>
      <c r="D71" s="56" t="s">
        <v>287</v>
      </c>
      <c r="E71" s="32"/>
      <c r="F71" s="121" t="s">
        <v>288</v>
      </c>
      <c r="G71" s="28">
        <f>IF(E68=3,0,0)</f>
        <v>0</v>
      </c>
      <c r="H71" s="29" t="s">
        <v>289</v>
      </c>
    </row>
    <row r="72" spans="2:8" ht="30.75" customHeight="1">
      <c r="B72" s="113">
        <f t="shared" si="3"/>
        <v>69</v>
      </c>
      <c r="C72" s="18">
        <v>80</v>
      </c>
      <c r="D72" s="34" t="s">
        <v>290</v>
      </c>
      <c r="E72" s="109"/>
      <c r="F72" s="116" t="s">
        <v>291</v>
      </c>
      <c r="G72" s="28">
        <f>E72*380000</f>
        <v>0</v>
      </c>
      <c r="H72" s="55" t="s">
        <v>292</v>
      </c>
    </row>
    <row r="73" spans="2:8" ht="30.75" customHeight="1">
      <c r="B73" s="113">
        <f t="shared" si="3"/>
        <v>70</v>
      </c>
      <c r="C73" s="18">
        <v>81</v>
      </c>
      <c r="D73" s="34" t="s">
        <v>293</v>
      </c>
      <c r="E73" s="109"/>
      <c r="F73" s="116" t="s">
        <v>294</v>
      </c>
      <c r="G73" s="28">
        <f>E73*630000</f>
        <v>0</v>
      </c>
      <c r="H73" s="55" t="s">
        <v>292</v>
      </c>
    </row>
    <row r="74" spans="2:8" ht="30.75" customHeight="1">
      <c r="B74" s="113">
        <f t="shared" si="3"/>
        <v>71</v>
      </c>
      <c r="C74" s="18">
        <v>82</v>
      </c>
      <c r="D74" s="34" t="s">
        <v>295</v>
      </c>
      <c r="E74" s="109"/>
      <c r="F74" s="116" t="s">
        <v>296</v>
      </c>
      <c r="G74" s="28">
        <f>E74*480000</f>
        <v>0</v>
      </c>
      <c r="H74" s="55" t="s">
        <v>292</v>
      </c>
    </row>
    <row r="75" spans="2:8" ht="30.75" customHeight="1">
      <c r="B75" s="113">
        <f t="shared" si="3"/>
        <v>72</v>
      </c>
      <c r="C75" s="18">
        <v>83</v>
      </c>
      <c r="D75" s="34" t="s">
        <v>297</v>
      </c>
      <c r="E75" s="109"/>
      <c r="F75" s="116" t="s">
        <v>298</v>
      </c>
      <c r="G75" s="28">
        <f>E75*100000</f>
        <v>0</v>
      </c>
      <c r="H75" s="29" t="s">
        <v>299</v>
      </c>
    </row>
    <row r="76" spans="2:8" ht="30.75" customHeight="1">
      <c r="B76" s="113">
        <f t="shared" si="3"/>
        <v>73</v>
      </c>
      <c r="C76" s="18">
        <v>87</v>
      </c>
      <c r="D76" s="34" t="s">
        <v>300</v>
      </c>
      <c r="E76" s="109"/>
      <c r="F76" s="116" t="s">
        <v>301</v>
      </c>
      <c r="G76" s="28">
        <f>E76*270000</f>
        <v>0</v>
      </c>
      <c r="H76" s="55" t="s">
        <v>292</v>
      </c>
    </row>
    <row r="77" spans="2:8" ht="30.75" customHeight="1">
      <c r="B77" s="113">
        <f t="shared" si="3"/>
        <v>74</v>
      </c>
      <c r="C77" s="18">
        <v>88</v>
      </c>
      <c r="D77" s="34" t="s">
        <v>302</v>
      </c>
      <c r="E77" s="109"/>
      <c r="F77" s="116" t="s">
        <v>303</v>
      </c>
      <c r="G77" s="28">
        <f>E77*400000</f>
        <v>0</v>
      </c>
      <c r="H77" s="55" t="s">
        <v>292</v>
      </c>
    </row>
    <row r="78" spans="2:8" ht="30.75" customHeight="1">
      <c r="B78" s="113">
        <f t="shared" si="3"/>
        <v>75</v>
      </c>
      <c r="C78" s="18">
        <v>89</v>
      </c>
      <c r="D78" s="34" t="s">
        <v>304</v>
      </c>
      <c r="E78" s="109"/>
      <c r="F78" s="116" t="s">
        <v>305</v>
      </c>
      <c r="G78" s="28">
        <f>E78*350000</f>
        <v>0</v>
      </c>
      <c r="H78" s="29" t="s">
        <v>306</v>
      </c>
    </row>
    <row r="79" spans="2:8" ht="30.75" customHeight="1">
      <c r="B79" s="113">
        <f t="shared" si="3"/>
        <v>76</v>
      </c>
      <c r="C79" s="18">
        <v>92</v>
      </c>
      <c r="D79" s="36" t="s">
        <v>307</v>
      </c>
      <c r="E79" s="109"/>
      <c r="F79" s="116"/>
      <c r="G79" s="32"/>
      <c r="H79" s="29"/>
    </row>
    <row r="80" spans="2:8" ht="30.75" customHeight="1">
      <c r="B80" s="113">
        <f t="shared" si="3"/>
        <v>77</v>
      </c>
      <c r="C80" s="18" t="s">
        <v>207</v>
      </c>
      <c r="D80" s="30" t="s">
        <v>308</v>
      </c>
      <c r="E80" s="42"/>
      <c r="F80" s="121" t="s">
        <v>309</v>
      </c>
      <c r="G80" s="28">
        <f>IF(E79=1,400000,0)</f>
        <v>0</v>
      </c>
      <c r="H80" s="29" t="s">
        <v>310</v>
      </c>
    </row>
    <row r="81" spans="2:9" ht="30.75" customHeight="1">
      <c r="B81" s="113">
        <f t="shared" si="3"/>
        <v>78</v>
      </c>
      <c r="C81" s="18" t="s">
        <v>207</v>
      </c>
      <c r="D81" s="30" t="s">
        <v>311</v>
      </c>
      <c r="E81" s="42"/>
      <c r="F81" s="121" t="s">
        <v>309</v>
      </c>
      <c r="G81" s="28">
        <f>IF(E79=2,400000,0)</f>
        <v>0</v>
      </c>
      <c r="H81" s="29" t="s">
        <v>310</v>
      </c>
    </row>
    <row r="82" spans="2:9" ht="30.75" customHeight="1">
      <c r="B82" s="113">
        <f t="shared" si="3"/>
        <v>79</v>
      </c>
      <c r="C82" s="18" t="s">
        <v>207</v>
      </c>
      <c r="D82" s="30" t="s">
        <v>312</v>
      </c>
      <c r="E82" s="42"/>
      <c r="F82" s="121" t="s">
        <v>313</v>
      </c>
      <c r="G82" s="28">
        <f>IF(E79=3,270000,0)</f>
        <v>0</v>
      </c>
      <c r="H82" s="29" t="s">
        <v>310</v>
      </c>
    </row>
    <row r="83" spans="2:9" ht="30.75" customHeight="1">
      <c r="B83" s="113">
        <f t="shared" si="3"/>
        <v>80</v>
      </c>
      <c r="C83" s="18">
        <v>93</v>
      </c>
      <c r="D83" s="36" t="s">
        <v>314</v>
      </c>
      <c r="E83" s="109">
        <v>1</v>
      </c>
      <c r="F83" s="116"/>
      <c r="G83" s="32"/>
      <c r="H83" s="29"/>
    </row>
    <row r="84" spans="2:9" ht="30.75" customHeight="1">
      <c r="B84" s="113">
        <f t="shared" si="3"/>
        <v>81</v>
      </c>
      <c r="C84" s="18" t="s">
        <v>207</v>
      </c>
      <c r="D84" s="30" t="s">
        <v>315</v>
      </c>
      <c r="E84" s="32"/>
      <c r="F84" s="121" t="s">
        <v>313</v>
      </c>
      <c r="G84" s="28">
        <f>IF(E83=1,270000,0)</f>
        <v>270000</v>
      </c>
      <c r="H84" s="29" t="s">
        <v>316</v>
      </c>
    </row>
    <row r="85" spans="2:9" ht="30.75" customHeight="1">
      <c r="B85" s="113">
        <f t="shared" si="3"/>
        <v>82</v>
      </c>
      <c r="C85" s="18" t="s">
        <v>207</v>
      </c>
      <c r="D85" s="30" t="s">
        <v>317</v>
      </c>
      <c r="E85" s="32"/>
      <c r="F85" s="121" t="s">
        <v>318</v>
      </c>
      <c r="G85" s="28">
        <f>IF(E83=2,350000,0)</f>
        <v>0</v>
      </c>
      <c r="H85" s="29" t="s">
        <v>316</v>
      </c>
    </row>
    <row r="86" spans="2:9" ht="30.75" customHeight="1">
      <c r="B86" s="113">
        <f t="shared" si="3"/>
        <v>83</v>
      </c>
      <c r="C86" s="18">
        <v>94</v>
      </c>
      <c r="D86" s="34" t="s">
        <v>319</v>
      </c>
      <c r="E86" s="109"/>
      <c r="F86" s="122"/>
      <c r="G86" s="42"/>
      <c r="H86" s="55"/>
    </row>
    <row r="87" spans="2:9" ht="30.75" customHeight="1">
      <c r="B87" s="113">
        <f t="shared" si="3"/>
        <v>84</v>
      </c>
      <c r="C87" s="18" t="s">
        <v>207</v>
      </c>
      <c r="D87" s="30" t="s">
        <v>320</v>
      </c>
      <c r="E87" s="32"/>
      <c r="F87" s="121" t="s">
        <v>313</v>
      </c>
      <c r="G87" s="39">
        <f>IF(E86=1,270000,0)</f>
        <v>0</v>
      </c>
      <c r="H87" s="102" t="s">
        <v>321</v>
      </c>
    </row>
    <row r="88" spans="2:9" ht="30.75" customHeight="1">
      <c r="B88" s="113">
        <f t="shared" si="3"/>
        <v>85</v>
      </c>
      <c r="C88" s="18" t="s">
        <v>207</v>
      </c>
      <c r="D88" s="34" t="s">
        <v>322</v>
      </c>
      <c r="E88" s="32"/>
      <c r="F88" s="123"/>
      <c r="G88" s="28">
        <f>IF(G27&gt;0,IF(G27&gt;25000000,0,IF(G27&gt;24500000,160000,IF(G27&gt;24000000,320000,480000))),0)</f>
        <v>480000</v>
      </c>
      <c r="H88" s="108" t="s">
        <v>323</v>
      </c>
    </row>
    <row r="89" spans="2:9" ht="30.75" customHeight="1">
      <c r="B89" s="113">
        <f t="shared" si="3"/>
        <v>86</v>
      </c>
      <c r="C89" s="18" t="s">
        <v>207</v>
      </c>
      <c r="D89" s="34" t="s">
        <v>324</v>
      </c>
      <c r="E89" s="32"/>
      <c r="F89" s="121"/>
      <c r="G89" s="103">
        <f>SUM(G58:G63,G65:G67,G69:G78,G80:G82,G84:G85,G87:G88)</f>
        <v>1835868</v>
      </c>
      <c r="H89" s="99"/>
    </row>
    <row r="90" spans="2:9" ht="30.75" customHeight="1">
      <c r="B90" s="113">
        <f t="shared" si="3"/>
        <v>87</v>
      </c>
      <c r="C90" s="138" t="s">
        <v>325</v>
      </c>
      <c r="D90" s="138"/>
      <c r="E90" s="138"/>
      <c r="F90" s="138"/>
      <c r="G90" s="138"/>
      <c r="H90" s="138"/>
    </row>
    <row r="91" spans="2:9" ht="42.6" customHeight="1">
      <c r="B91" s="113">
        <f t="shared" si="3"/>
        <v>88</v>
      </c>
      <c r="C91" s="18" t="s">
        <v>207</v>
      </c>
      <c r="D91" s="34" t="s">
        <v>326</v>
      </c>
      <c r="E91" s="42"/>
      <c r="F91" s="116" t="s">
        <v>327</v>
      </c>
      <c r="G91" s="28">
        <f>ROUNDDOWN(IF(G51&gt;=G89,G51-G89,0),-3)</f>
        <v>2836000</v>
      </c>
      <c r="H91" s="33" t="s">
        <v>328</v>
      </c>
      <c r="I91" s="35"/>
    </row>
    <row r="92" spans="2:9" ht="32.25" customHeight="1">
      <c r="B92" s="113">
        <f t="shared" si="3"/>
        <v>89</v>
      </c>
      <c r="C92" s="43" t="s">
        <v>207</v>
      </c>
      <c r="D92" s="44" t="s">
        <v>241</v>
      </c>
      <c r="E92" s="45"/>
      <c r="F92" s="124"/>
      <c r="G92" s="45">
        <f>MAX(IF(G91&gt;=1,0,G89-G51),0)</f>
        <v>0</v>
      </c>
      <c r="H92" s="46"/>
      <c r="I92" s="35"/>
    </row>
    <row r="93" spans="2:9" ht="42.6" customHeight="1">
      <c r="B93" s="113">
        <f t="shared" si="3"/>
        <v>90</v>
      </c>
      <c r="C93" s="18" t="s">
        <v>207</v>
      </c>
      <c r="D93" s="34" t="s">
        <v>329</v>
      </c>
      <c r="E93" s="42"/>
      <c r="F93" s="116" t="s">
        <v>327</v>
      </c>
      <c r="G93" s="28">
        <f>ROUNDDOWN(IF(G50&gt;=G92,G50-G92,0),-3)</f>
        <v>0</v>
      </c>
      <c r="H93" s="29" t="s">
        <v>330</v>
      </c>
      <c r="I93" s="35"/>
    </row>
    <row r="94" spans="2:9" ht="29.25" customHeight="1">
      <c r="B94" s="113">
        <f t="shared" si="3"/>
        <v>91</v>
      </c>
      <c r="C94" s="43" t="s">
        <v>207</v>
      </c>
      <c r="D94" s="58" t="s">
        <v>331</v>
      </c>
      <c r="E94" s="45"/>
      <c r="F94" s="124"/>
      <c r="G94" s="45">
        <f>MAX(IF(G93&gt;=1,0,G92-G50),0)</f>
        <v>0</v>
      </c>
      <c r="H94" s="46"/>
      <c r="I94" s="35"/>
    </row>
    <row r="95" spans="2:9" ht="42.6" customHeight="1">
      <c r="B95" s="113">
        <f t="shared" si="3"/>
        <v>92</v>
      </c>
      <c r="C95" s="18" t="s">
        <v>207</v>
      </c>
      <c r="D95" s="34" t="s">
        <v>332</v>
      </c>
      <c r="E95" s="42"/>
      <c r="F95" s="116" t="s">
        <v>327</v>
      </c>
      <c r="G95" s="28">
        <f>ROUNDDOWN(IF(G45&gt;=G94,G45-G94,0),-3)</f>
        <v>0</v>
      </c>
      <c r="H95" s="29" t="s">
        <v>333</v>
      </c>
      <c r="I95" s="35"/>
    </row>
    <row r="96" spans="2:9" ht="29.25" customHeight="1">
      <c r="B96" s="113">
        <f t="shared" si="3"/>
        <v>93</v>
      </c>
      <c r="C96" s="43" t="s">
        <v>207</v>
      </c>
      <c r="D96" s="58" t="s">
        <v>331</v>
      </c>
      <c r="E96" s="45"/>
      <c r="F96" s="124"/>
      <c r="G96" s="45">
        <f>MAX(IF(G95&gt;=1,0,G94-G45),0)</f>
        <v>0</v>
      </c>
      <c r="H96" s="46"/>
      <c r="I96" s="35"/>
    </row>
    <row r="97" spans="2:9" ht="42.6" customHeight="1">
      <c r="B97" s="113">
        <f t="shared" si="3"/>
        <v>94</v>
      </c>
      <c r="C97" s="18" t="s">
        <v>207</v>
      </c>
      <c r="D97" s="59" t="s">
        <v>334</v>
      </c>
      <c r="E97" s="42"/>
      <c r="F97" s="116" t="s">
        <v>327</v>
      </c>
      <c r="G97" s="28">
        <f>ROUNDDOWN(IF(G39&gt;=G96,G39-G96,0),-3)</f>
        <v>0</v>
      </c>
      <c r="H97" s="29" t="s">
        <v>335</v>
      </c>
      <c r="I97" s="35"/>
    </row>
    <row r="98" spans="2:9" ht="28.5" customHeight="1">
      <c r="B98" s="113">
        <f t="shared" si="3"/>
        <v>95</v>
      </c>
      <c r="C98" s="43" t="s">
        <v>207</v>
      </c>
      <c r="D98" s="58" t="s">
        <v>331</v>
      </c>
      <c r="E98" s="45"/>
      <c r="F98" s="124"/>
      <c r="G98" s="45">
        <f>MAX(IF(G97&gt;=1,0,G96-G39),0)</f>
        <v>0</v>
      </c>
      <c r="H98" s="46"/>
      <c r="I98" s="35"/>
    </row>
    <row r="99" spans="2:9" ht="42.6" customHeight="1">
      <c r="B99" s="113">
        <f t="shared" si="3"/>
        <v>96</v>
      </c>
      <c r="C99" s="18" t="s">
        <v>207</v>
      </c>
      <c r="D99" s="34" t="s">
        <v>336</v>
      </c>
      <c r="E99" s="42"/>
      <c r="F99" s="116" t="s">
        <v>327</v>
      </c>
      <c r="G99" s="28">
        <f>ROUNDDOWN(IF(G35&gt;=G98,G35-G98,0),-3)</f>
        <v>0</v>
      </c>
      <c r="H99" s="29" t="s">
        <v>337</v>
      </c>
      <c r="I99" s="35"/>
    </row>
    <row r="100" spans="2:9" ht="29.25" customHeight="1">
      <c r="B100" s="113">
        <f t="shared" si="3"/>
        <v>97</v>
      </c>
      <c r="C100" s="43" t="s">
        <v>207</v>
      </c>
      <c r="D100" s="58" t="s">
        <v>331</v>
      </c>
      <c r="E100" s="45"/>
      <c r="F100" s="124"/>
      <c r="G100" s="45">
        <f>MAX(IF(G99&gt;=1,0,G98-G35),0)</f>
        <v>0</v>
      </c>
      <c r="H100" s="46"/>
      <c r="I100" s="35"/>
    </row>
    <row r="101" spans="2:9" ht="42.6" customHeight="1">
      <c r="B101" s="113">
        <f t="shared" si="3"/>
        <v>98</v>
      </c>
      <c r="C101" s="18" t="s">
        <v>207</v>
      </c>
      <c r="D101" s="34" t="s">
        <v>338</v>
      </c>
      <c r="E101" s="42"/>
      <c r="F101" s="116" t="s">
        <v>327</v>
      </c>
      <c r="G101" s="28">
        <f>ROUNDDOWN(IF(G37&gt;=G100,G37-G100,0),-3)</f>
        <v>0</v>
      </c>
      <c r="H101" s="29" t="s">
        <v>339</v>
      </c>
      <c r="I101" s="35"/>
    </row>
    <row r="102" spans="2:9" ht="29.25" customHeight="1">
      <c r="B102" s="113">
        <f t="shared" si="3"/>
        <v>99</v>
      </c>
      <c r="C102" s="43" t="s">
        <v>207</v>
      </c>
      <c r="D102" s="60"/>
      <c r="E102" s="45"/>
      <c r="F102" s="124"/>
      <c r="G102" s="45">
        <f>MAX(IF(G101&gt;=1,0,G100-G37),0)</f>
        <v>0</v>
      </c>
      <c r="H102" s="46"/>
      <c r="I102" s="35"/>
    </row>
    <row r="103" spans="2:9" ht="42.6" customHeight="1">
      <c r="B103" s="113">
        <f t="shared" si="3"/>
        <v>100</v>
      </c>
      <c r="C103" s="18" t="s">
        <v>207</v>
      </c>
      <c r="D103" s="34" t="s">
        <v>340</v>
      </c>
      <c r="E103" s="42"/>
      <c r="F103" s="116" t="s">
        <v>327</v>
      </c>
      <c r="G103" s="28">
        <f>ROUNDDOWN(IF(G40&gt;=G102,G40-G102,0),-3)</f>
        <v>0</v>
      </c>
      <c r="H103" s="29" t="s">
        <v>341</v>
      </c>
      <c r="I103" s="35"/>
    </row>
    <row r="104" spans="2:9" ht="29.25" customHeight="1">
      <c r="B104" s="113">
        <f t="shared" si="3"/>
        <v>101</v>
      </c>
      <c r="C104" s="43" t="s">
        <v>207</v>
      </c>
      <c r="D104" s="60"/>
      <c r="E104" s="45"/>
      <c r="F104" s="124"/>
      <c r="G104" s="45">
        <f>MAX(IF(G103&gt;=1,0,G102-G40),0)</f>
        <v>0</v>
      </c>
      <c r="H104" s="46"/>
      <c r="I104" s="35"/>
    </row>
    <row r="105" spans="2:9" ht="42.6" customHeight="1">
      <c r="B105" s="113">
        <f t="shared" si="3"/>
        <v>102</v>
      </c>
      <c r="C105" s="18" t="s">
        <v>207</v>
      </c>
      <c r="D105" s="34" t="s">
        <v>342</v>
      </c>
      <c r="E105" s="42"/>
      <c r="F105" s="116" t="s">
        <v>327</v>
      </c>
      <c r="G105" s="28">
        <f>ROUNDDOWN(IF(G53&gt;=G104,G53-G104,0),-3)</f>
        <v>0</v>
      </c>
      <c r="H105" s="29" t="s">
        <v>343</v>
      </c>
      <c r="I105" s="35"/>
    </row>
    <row r="106" spans="2:9" ht="29.25" customHeight="1">
      <c r="B106" s="113">
        <f t="shared" si="3"/>
        <v>103</v>
      </c>
      <c r="C106" s="43" t="s">
        <v>207</v>
      </c>
      <c r="D106" s="60"/>
      <c r="E106" s="45"/>
      <c r="F106" s="124"/>
      <c r="G106" s="45">
        <f>MAX(IF(G105&gt;=1,0,G104-G53),0)</f>
        <v>0</v>
      </c>
      <c r="H106" s="46"/>
      <c r="I106" s="35"/>
    </row>
    <row r="107" spans="2:9" ht="42.6" customHeight="1">
      <c r="B107" s="113">
        <f t="shared" si="3"/>
        <v>104</v>
      </c>
      <c r="C107" s="18" t="s">
        <v>207</v>
      </c>
      <c r="D107" s="34" t="s">
        <v>344</v>
      </c>
      <c r="E107" s="42"/>
      <c r="F107" s="116" t="s">
        <v>327</v>
      </c>
      <c r="G107" s="28">
        <f>ROUNDDOWN(IF(G55&gt;=G106,G55-G106,0),-3)</f>
        <v>0</v>
      </c>
      <c r="H107" s="29" t="s">
        <v>345</v>
      </c>
      <c r="I107" s="35"/>
    </row>
    <row r="108" spans="2:9" ht="30.75" customHeight="1">
      <c r="B108" s="113">
        <f t="shared" si="3"/>
        <v>105</v>
      </c>
      <c r="C108" s="18" t="s">
        <v>346</v>
      </c>
      <c r="D108" s="36" t="s">
        <v>347</v>
      </c>
      <c r="E108" s="32"/>
      <c r="F108" s="116"/>
      <c r="G108" s="57">
        <f>SUM(G91,G107)</f>
        <v>2836000</v>
      </c>
      <c r="H108" s="29" t="s">
        <v>348</v>
      </c>
    </row>
    <row r="109" spans="2:9" ht="30.75" customHeight="1" thickBot="1">
      <c r="B109" s="113">
        <f t="shared" si="3"/>
        <v>106</v>
      </c>
      <c r="C109" s="18" t="s">
        <v>207</v>
      </c>
      <c r="D109" s="36" t="s">
        <v>349</v>
      </c>
      <c r="E109" s="32"/>
      <c r="F109" s="116"/>
      <c r="G109" s="101">
        <f>G105/5</f>
        <v>0</v>
      </c>
      <c r="H109" s="102" t="s">
        <v>350</v>
      </c>
    </row>
    <row r="110" spans="2:9" ht="87" customHeight="1">
      <c r="B110" s="113">
        <f t="shared" si="3"/>
        <v>107</v>
      </c>
      <c r="C110" s="18" t="s">
        <v>207</v>
      </c>
      <c r="D110" s="36" t="s">
        <v>351</v>
      </c>
      <c r="E110" s="32"/>
      <c r="F110" s="125"/>
      <c r="G110" s="105">
        <f>MAX(ROUNDDOWN(IF((E20+E21-G44)&lt;G95,(E20+E21-G44),G95),-3),0)</f>
        <v>0</v>
      </c>
      <c r="H110" s="104" t="s">
        <v>352</v>
      </c>
      <c r="I110" s="35"/>
    </row>
    <row r="111" spans="2:9" ht="46.9" customHeight="1">
      <c r="B111" s="113">
        <f t="shared" si="3"/>
        <v>108</v>
      </c>
      <c r="C111" s="18" t="s">
        <v>207</v>
      </c>
      <c r="D111" s="36" t="s">
        <v>353</v>
      </c>
      <c r="E111" s="32"/>
      <c r="F111" s="125"/>
      <c r="G111" s="106">
        <f>MAX(SUM(ROUNDDOWN(IF((E17-G49)&lt;G93,(E17-G49),G93),-3),G95-G110,G97,G99,G101,G103),0)</f>
        <v>0</v>
      </c>
      <c r="H111" s="104" t="s">
        <v>354</v>
      </c>
      <c r="I111" s="35"/>
    </row>
    <row r="112" spans="2:9" ht="30.75" customHeight="1" thickBot="1">
      <c r="B112" s="113">
        <f t="shared" si="3"/>
        <v>109</v>
      </c>
      <c r="C112" s="18" t="s">
        <v>207</v>
      </c>
      <c r="D112" s="36" t="s">
        <v>355</v>
      </c>
      <c r="E112" s="32"/>
      <c r="F112" s="125"/>
      <c r="G112" s="107">
        <f>ROUNDDOWN(G93-MAX(IF((E17-G49)&lt;G93,(E17-G49),G93),0),-3)</f>
        <v>0</v>
      </c>
      <c r="H112" s="104" t="s">
        <v>356</v>
      </c>
    </row>
    <row r="113" spans="2:9" ht="29.25" customHeight="1">
      <c r="B113" s="113">
        <f t="shared" si="3"/>
        <v>110</v>
      </c>
      <c r="C113" s="138" t="s">
        <v>357</v>
      </c>
      <c r="D113" s="138"/>
      <c r="E113" s="138"/>
      <c r="F113" s="138"/>
      <c r="G113" s="141"/>
      <c r="H113" s="141"/>
    </row>
    <row r="114" spans="2:9" ht="30.75" customHeight="1">
      <c r="B114" s="113">
        <f t="shared" si="3"/>
        <v>111</v>
      </c>
      <c r="C114" s="18" t="s">
        <v>207</v>
      </c>
      <c r="D114" s="36" t="s">
        <v>358</v>
      </c>
      <c r="E114" s="32"/>
      <c r="F114" s="126"/>
      <c r="G114" s="28">
        <f>1*(IF(G108&lt;1950000,G108*5%,IF(G108&lt;3300000,G108*0.1-97500,IF(G108&lt;6950000,G108*0.2-427500,IF(G108&lt;9000000,G108*0.23-636000,IF(G108&lt;18000000,G108*0.33-1536000,IF(G108&lt;40000000,G108*0.4-2796000,G108*0.45-4796000)))))))</f>
        <v>186100</v>
      </c>
      <c r="H114" s="29"/>
    </row>
    <row r="115" spans="2:9" ht="27">
      <c r="B115" s="113">
        <f t="shared" si="3"/>
        <v>112</v>
      </c>
      <c r="C115" s="18" t="s">
        <v>207</v>
      </c>
      <c r="D115" s="36" t="s">
        <v>359</v>
      </c>
      <c r="E115" s="32"/>
      <c r="F115" s="126"/>
      <c r="G115" s="28">
        <f>1*(IF(G109&lt;1950000,G109*5%,IF(G109&lt;3300000,G109*0.1-97500,IF(G109&lt;6950000,G109*0.2-427500,IF(G109&lt;9000000,G109*0.23-636000,IF(G109&lt;18000000,G109*0.33-1536000,IF(G109&lt;40000000,G109*0.4-2796000,G109*0.45-4796000)))))))*5</f>
        <v>0</v>
      </c>
      <c r="H115" s="29"/>
    </row>
    <row r="116" spans="2:9" ht="35.25" customHeight="1">
      <c r="B116" s="113">
        <f t="shared" si="3"/>
        <v>113</v>
      </c>
      <c r="C116" s="18" t="s">
        <v>207</v>
      </c>
      <c r="D116" s="36" t="s">
        <v>360</v>
      </c>
      <c r="E116" s="32"/>
      <c r="F116" s="126"/>
      <c r="G116" s="28">
        <f>1*G110*0.1</f>
        <v>0</v>
      </c>
      <c r="H116" s="29"/>
    </row>
    <row r="117" spans="2:9" ht="30.75" customHeight="1">
      <c r="B117" s="113">
        <f t="shared" si="3"/>
        <v>114</v>
      </c>
      <c r="C117" s="18" t="s">
        <v>207</v>
      </c>
      <c r="D117" s="36" t="s">
        <v>361</v>
      </c>
      <c r="E117" s="32"/>
      <c r="F117" s="126"/>
      <c r="G117" s="28">
        <f>1*G111*0.15</f>
        <v>0</v>
      </c>
      <c r="H117" s="29"/>
    </row>
    <row r="118" spans="2:9" ht="30.75" customHeight="1">
      <c r="B118" s="113">
        <f t="shared" si="3"/>
        <v>115</v>
      </c>
      <c r="C118" s="18" t="s">
        <v>207</v>
      </c>
      <c r="D118" s="36" t="s">
        <v>362</v>
      </c>
      <c r="E118" s="32"/>
      <c r="F118" s="126"/>
      <c r="G118" s="28">
        <f>1*G112*0.3</f>
        <v>0</v>
      </c>
      <c r="H118" s="29"/>
    </row>
    <row r="119" spans="2:9" ht="30.75" customHeight="1">
      <c r="B119" s="113">
        <f t="shared" si="3"/>
        <v>116</v>
      </c>
      <c r="C119" s="18">
        <v>26</v>
      </c>
      <c r="D119" s="36" t="s">
        <v>363</v>
      </c>
      <c r="E119" s="26">
        <f>E11</f>
        <v>0</v>
      </c>
      <c r="F119" s="116" t="s">
        <v>364</v>
      </c>
      <c r="G119" s="28">
        <f>ROUNDUP(E119*0.1,0)</f>
        <v>0</v>
      </c>
      <c r="H119" s="29" t="s">
        <v>365</v>
      </c>
    </row>
    <row r="120" spans="2:9" ht="35.25" customHeight="1">
      <c r="B120" s="113">
        <f t="shared" si="3"/>
        <v>117</v>
      </c>
      <c r="C120" s="18">
        <v>103</v>
      </c>
      <c r="D120" s="36" t="s">
        <v>366</v>
      </c>
      <c r="E120" s="109"/>
      <c r="F120" s="122"/>
      <c r="G120" s="61"/>
      <c r="H120" s="29"/>
    </row>
    <row r="121" spans="2:9" ht="60" customHeight="1">
      <c r="B121" s="113">
        <f>B120+1</f>
        <v>118</v>
      </c>
      <c r="C121" s="18" t="s">
        <v>207</v>
      </c>
      <c r="D121" s="36" t="s">
        <v>367</v>
      </c>
      <c r="E121" s="32"/>
      <c r="F121" s="127"/>
      <c r="G121" s="57">
        <f>IF(SUM(G114:G118)-G119&gt;=0,IF(E120&gt;=1,0,SUM(G114:G118)-G119),0)</f>
        <v>186100</v>
      </c>
      <c r="H121" s="62" t="s">
        <v>368</v>
      </c>
      <c r="I121" s="35"/>
    </row>
    <row r="122" spans="2:9">
      <c r="H122" s="63"/>
    </row>
    <row r="123" spans="2:9">
      <c r="H123" s="63"/>
    </row>
    <row r="124" spans="2:9" ht="31.5" customHeight="1">
      <c r="C124" s="64" t="s">
        <v>369</v>
      </c>
      <c r="D124" s="64"/>
      <c r="E124" s="64"/>
      <c r="F124" s="128"/>
      <c r="G124" s="64"/>
      <c r="H124" s="65"/>
    </row>
    <row r="125" spans="2:9" ht="42.75" customHeight="1" thickBot="1">
      <c r="B125" s="66" t="s">
        <v>200</v>
      </c>
      <c r="C125" s="19" t="s">
        <v>201</v>
      </c>
      <c r="D125" s="20" t="s">
        <v>177</v>
      </c>
      <c r="E125" s="19" t="s">
        <v>370</v>
      </c>
      <c r="F125" s="115" t="s">
        <v>371</v>
      </c>
      <c r="G125" s="67" t="s">
        <v>372</v>
      </c>
      <c r="H125" s="23" t="s">
        <v>205</v>
      </c>
    </row>
    <row r="126" spans="2:9" ht="39.950000000000003" customHeight="1" thickTop="1" thickBot="1">
      <c r="B126" s="18">
        <v>201</v>
      </c>
      <c r="C126" s="18" t="s">
        <v>207</v>
      </c>
      <c r="D126" s="36" t="s">
        <v>530</v>
      </c>
      <c r="E126" s="111">
        <v>290100</v>
      </c>
      <c r="F126" s="125" t="s">
        <v>216</v>
      </c>
      <c r="G126" s="68">
        <f>E126</f>
        <v>290100</v>
      </c>
      <c r="H126" s="69"/>
    </row>
    <row r="127" spans="2:9" ht="39.950000000000003" hidden="1" customHeight="1" thickTop="1">
      <c r="B127" s="18">
        <v>202</v>
      </c>
      <c r="C127" s="18">
        <v>124</v>
      </c>
      <c r="D127" s="30" t="s">
        <v>160</v>
      </c>
      <c r="E127" s="111">
        <v>175560</v>
      </c>
      <c r="F127" s="116"/>
      <c r="G127" s="70"/>
      <c r="H127" s="71"/>
    </row>
    <row r="128" spans="2:9" ht="39.950000000000003" hidden="1" customHeight="1" thickBot="1">
      <c r="B128" s="18">
        <v>203</v>
      </c>
      <c r="C128" s="18">
        <v>127</v>
      </c>
      <c r="D128" s="30" t="s">
        <v>162</v>
      </c>
      <c r="E128" s="111">
        <v>117040</v>
      </c>
      <c r="F128" s="116"/>
      <c r="G128" s="72"/>
      <c r="H128" s="71"/>
    </row>
    <row r="129" spans="2:9" ht="39.950000000000003" customHeight="1" thickTop="1" thickBot="1">
      <c r="B129" s="18">
        <v>204</v>
      </c>
      <c r="C129" s="18" t="s">
        <v>207</v>
      </c>
      <c r="D129" s="36" t="s">
        <v>373</v>
      </c>
      <c r="E129" s="73">
        <f>SUM(IF(OR(E68=1,E68=2),1,0),E72:E74,E130)-E140</f>
        <v>0</v>
      </c>
      <c r="F129" s="125" t="s">
        <v>216</v>
      </c>
      <c r="G129" s="74">
        <f>E129</f>
        <v>0</v>
      </c>
      <c r="H129" s="62" t="s">
        <v>374</v>
      </c>
      <c r="I129" s="75"/>
    </row>
    <row r="130" spans="2:9" ht="39.950000000000003" customHeight="1" thickTop="1" thickBot="1">
      <c r="B130" s="18">
        <v>205</v>
      </c>
      <c r="C130" s="18">
        <v>84</v>
      </c>
      <c r="D130" s="30" t="s">
        <v>375</v>
      </c>
      <c r="E130" s="112"/>
      <c r="F130" s="116"/>
      <c r="G130" s="76"/>
      <c r="H130" s="33"/>
      <c r="I130" s="2"/>
    </row>
    <row r="131" spans="2:9" ht="39.950000000000003" customHeight="1" thickTop="1" thickBot="1">
      <c r="B131" s="18">
        <v>206</v>
      </c>
      <c r="C131" s="18" t="s">
        <v>207</v>
      </c>
      <c r="D131" s="34" t="s">
        <v>376</v>
      </c>
      <c r="E131" s="73">
        <f>E129+1</f>
        <v>1</v>
      </c>
      <c r="F131" s="125" t="s">
        <v>377</v>
      </c>
      <c r="G131" s="74">
        <f>E131*10000</f>
        <v>10000</v>
      </c>
      <c r="H131" s="62" t="s">
        <v>378</v>
      </c>
    </row>
    <row r="132" spans="2:9" ht="46.15" customHeight="1" thickTop="1" thickBot="1">
      <c r="B132" s="18">
        <v>207</v>
      </c>
      <c r="C132" s="18" t="s">
        <v>207</v>
      </c>
      <c r="D132" s="34" t="s">
        <v>379</v>
      </c>
      <c r="E132" s="26"/>
      <c r="F132" s="125"/>
      <c r="G132" s="77">
        <f>IF(E139&gt;18050000,0,IF(G131-G126&gt;0,G131-G126,0))</f>
        <v>0</v>
      </c>
      <c r="H132" s="62" t="s">
        <v>380</v>
      </c>
    </row>
    <row r="133" spans="2:9" ht="39.950000000000003" customHeight="1" thickTop="1" thickBot="1">
      <c r="B133" s="18">
        <v>208</v>
      </c>
      <c r="C133" s="18" t="s">
        <v>207</v>
      </c>
      <c r="D133" s="34" t="s">
        <v>381</v>
      </c>
      <c r="E133" s="73">
        <f>IF(E141="",G121,E141)</f>
        <v>186100</v>
      </c>
      <c r="F133" s="125" t="s">
        <v>216</v>
      </c>
      <c r="G133" s="74">
        <f>E133</f>
        <v>186100</v>
      </c>
      <c r="H133" s="62" t="s">
        <v>382</v>
      </c>
    </row>
    <row r="134" spans="2:9" ht="60.6" customHeight="1" thickTop="1" thickBot="1">
      <c r="B134" s="18">
        <v>209</v>
      </c>
      <c r="C134" s="18" t="s">
        <v>207</v>
      </c>
      <c r="D134" s="36" t="s">
        <v>383</v>
      </c>
      <c r="E134" s="78">
        <f>IF(E142="",E129,E142-E140)</f>
        <v>0</v>
      </c>
      <c r="F134" s="125" t="s">
        <v>216</v>
      </c>
      <c r="G134" s="74">
        <f>E134</f>
        <v>0</v>
      </c>
      <c r="H134" s="62" t="s">
        <v>384</v>
      </c>
    </row>
    <row r="135" spans="2:9" ht="39.950000000000003" customHeight="1" thickTop="1" thickBot="1">
      <c r="B135" s="18">
        <v>210</v>
      </c>
      <c r="C135" s="18" t="s">
        <v>207</v>
      </c>
      <c r="D135" s="34" t="s">
        <v>385</v>
      </c>
      <c r="E135" s="73">
        <f>E134+1</f>
        <v>1</v>
      </c>
      <c r="F135" s="125" t="s">
        <v>386</v>
      </c>
      <c r="G135" s="74">
        <f>E135*30000</f>
        <v>30000</v>
      </c>
      <c r="H135" s="62" t="s">
        <v>387</v>
      </c>
    </row>
    <row r="136" spans="2:9" ht="73.150000000000006" customHeight="1" thickTop="1" thickBot="1">
      <c r="B136" s="18">
        <v>211</v>
      </c>
      <c r="C136" s="18" t="s">
        <v>207</v>
      </c>
      <c r="D136" s="34" t="s">
        <v>388</v>
      </c>
      <c r="E136" s="26"/>
      <c r="F136" s="125"/>
      <c r="G136" s="74">
        <f>IF(E143&lt;&gt;"",IF(E143&gt;18050000,0,IF(G135-G133&gt;0,G135-G133,0)),IF(G27&lt;&gt;"",IF(G27&gt;18050000,0,IF(G135-G133&gt;0,G135-G133,0)),IF(E139&gt;18050000,0,IF(G135-G133&gt;0,G135-G133,0))))</f>
        <v>0</v>
      </c>
      <c r="H136" s="62" t="s">
        <v>389</v>
      </c>
    </row>
    <row r="137" spans="2:9" ht="39.950000000000003" customHeight="1" thickTop="1" thickBot="1">
      <c r="B137" s="18">
        <v>212</v>
      </c>
      <c r="C137" s="18" t="s">
        <v>207</v>
      </c>
      <c r="D137" s="34" t="s">
        <v>390</v>
      </c>
      <c r="E137" s="26"/>
      <c r="F137" s="125"/>
      <c r="G137" s="74">
        <f>IF(AND(G126=0,G133=0),0,G132+G136)</f>
        <v>0</v>
      </c>
      <c r="H137" s="62" t="s">
        <v>391</v>
      </c>
    </row>
    <row r="138" spans="2:9" ht="39.950000000000003" customHeight="1" thickTop="1" thickBot="1">
      <c r="B138" s="18">
        <v>213</v>
      </c>
      <c r="C138" s="18" t="s">
        <v>207</v>
      </c>
      <c r="D138" s="34" t="s">
        <v>392</v>
      </c>
      <c r="E138" s="26"/>
      <c r="F138" s="125" t="s">
        <v>393</v>
      </c>
      <c r="G138" s="74">
        <f>ROUNDUP(G137,-4)</f>
        <v>0</v>
      </c>
      <c r="H138" s="79" t="s">
        <v>394</v>
      </c>
    </row>
    <row r="139" spans="2:9" ht="39.950000000000003" customHeight="1" thickTop="1">
      <c r="B139" s="18">
        <v>214</v>
      </c>
      <c r="C139" s="18">
        <v>4</v>
      </c>
      <c r="D139" s="34" t="s">
        <v>395</v>
      </c>
      <c r="E139" s="112"/>
      <c r="F139" s="116"/>
      <c r="G139" s="80"/>
      <c r="H139" s="33" t="s">
        <v>396</v>
      </c>
    </row>
    <row r="140" spans="2:9" ht="52.9" customHeight="1">
      <c r="B140" s="18">
        <v>215</v>
      </c>
      <c r="C140" s="18" t="s">
        <v>397</v>
      </c>
      <c r="D140" s="36" t="s">
        <v>398</v>
      </c>
      <c r="E140" s="112"/>
      <c r="F140" s="116"/>
      <c r="G140" s="32"/>
      <c r="H140" s="33" t="s">
        <v>399</v>
      </c>
    </row>
    <row r="141" spans="2:9" ht="39.950000000000003" customHeight="1">
      <c r="B141" s="18">
        <v>216</v>
      </c>
      <c r="C141" s="18" t="s">
        <v>397</v>
      </c>
      <c r="D141" s="59" t="s">
        <v>400</v>
      </c>
      <c r="E141" s="112"/>
      <c r="F141" s="116"/>
      <c r="G141" s="32"/>
      <c r="H141" s="33" t="s">
        <v>401</v>
      </c>
    </row>
    <row r="142" spans="2:9" ht="50.45" customHeight="1">
      <c r="B142" s="18">
        <v>217</v>
      </c>
      <c r="C142" s="18" t="s">
        <v>397</v>
      </c>
      <c r="D142" s="36" t="s">
        <v>402</v>
      </c>
      <c r="E142" s="112"/>
      <c r="F142" s="116"/>
      <c r="G142" s="32"/>
      <c r="H142" s="33" t="s">
        <v>403</v>
      </c>
      <c r="I142" s="35"/>
    </row>
    <row r="143" spans="2:9" ht="39.950000000000003" customHeight="1">
      <c r="B143" s="18">
        <v>218</v>
      </c>
      <c r="C143" s="18" t="s">
        <v>397</v>
      </c>
      <c r="D143" s="34" t="s">
        <v>404</v>
      </c>
      <c r="E143" s="112"/>
      <c r="F143" s="116"/>
      <c r="G143" s="32"/>
      <c r="H143" s="33" t="s">
        <v>405</v>
      </c>
    </row>
  </sheetData>
  <sheetProtection algorithmName="SHA-512" hashValue="TYxFF2Ilt2/gLvZtyv+0igFzTrePYKu2KSoU00yscbvXlAyEwPqPQOud7ppa1GbD6MY8o9O4pcXSCOTEB/aUMg==" saltValue="xxwSfhnKHaf3ILY8lozDQw==" spinCount="100000" sheet="1" objects="1" scenarios="1" selectLockedCells="1" selectUnlockedCells="1"/>
  <mergeCells count="5">
    <mergeCell ref="C4:H4"/>
    <mergeCell ref="C57:H57"/>
    <mergeCell ref="H64:H67"/>
    <mergeCell ref="C90:H90"/>
    <mergeCell ref="C113:H113"/>
  </mergeCells>
  <phoneticPr fontId="1"/>
  <pageMargins left="0.7" right="0.7" top="0.75" bottom="0.75" header="0.3" footer="0.3"/>
  <pageSetup paperSize="9" scale="47" fitToHeight="0" orientation="portrait" r:id="rId1"/>
  <rowBreaks count="1" manualBreakCount="1">
    <brk id="123" min="1" max="7" man="1"/>
  </rowBreaks>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M26"/>
  <sheetViews>
    <sheetView showGridLines="0" view="pageBreakPreview" topLeftCell="A13" zoomScale="115" zoomScaleNormal="100" zoomScaleSheetLayoutView="115" workbookViewId="0">
      <selection activeCell="C18" sqref="C18"/>
    </sheetView>
  </sheetViews>
  <sheetFormatPr defaultColWidth="9" defaultRowHeight="18.75"/>
  <cols>
    <col min="1" max="1" width="9" style="82"/>
    <col min="2" max="2" width="4.625" style="96" customWidth="1" collapsed="1"/>
    <col min="3" max="3" width="18.625" style="97" customWidth="1" collapsed="1"/>
    <col min="4" max="4" width="4.625" style="96" customWidth="1" collapsed="1"/>
    <col min="5" max="5" width="18.625" style="97" customWidth="1" collapsed="1"/>
    <col min="6" max="6" width="4.625" style="82" customWidth="1"/>
    <col min="7" max="7" width="18.625" style="82" customWidth="1"/>
    <col min="8" max="8" width="4.625" style="82" customWidth="1"/>
    <col min="9" max="9" width="18.625" style="82" customWidth="1"/>
    <col min="10" max="10" width="4.625" style="82" customWidth="1"/>
    <col min="11" max="11" width="18.625" style="82" customWidth="1"/>
    <col min="12" max="12" width="4.625" style="82" customWidth="1"/>
    <col min="13" max="13" width="20.625" style="82" customWidth="1"/>
    <col min="14" max="16384" width="9" style="82"/>
  </cols>
  <sheetData>
    <row r="2" spans="2:13" ht="9.9499999999999993" customHeight="1">
      <c r="B2" s="143" t="s">
        <v>20</v>
      </c>
      <c r="C2" s="146" t="s">
        <v>406</v>
      </c>
      <c r="D2" s="143" t="s">
        <v>20</v>
      </c>
      <c r="E2" s="146" t="s">
        <v>406</v>
      </c>
      <c r="F2" s="143" t="s">
        <v>20</v>
      </c>
      <c r="G2" s="146" t="s">
        <v>406</v>
      </c>
      <c r="H2" s="143" t="s">
        <v>20</v>
      </c>
      <c r="I2" s="146" t="s">
        <v>406</v>
      </c>
      <c r="J2" s="143" t="s">
        <v>20</v>
      </c>
      <c r="K2" s="143" t="s">
        <v>406</v>
      </c>
      <c r="L2" s="143" t="s">
        <v>20</v>
      </c>
      <c r="M2" s="142" t="s">
        <v>406</v>
      </c>
    </row>
    <row r="3" spans="2:13" ht="9.9499999999999993" customHeight="1">
      <c r="B3" s="144"/>
      <c r="C3" s="147"/>
      <c r="D3" s="144"/>
      <c r="E3" s="147"/>
      <c r="F3" s="144"/>
      <c r="G3" s="147"/>
      <c r="H3" s="144"/>
      <c r="I3" s="147"/>
      <c r="J3" s="144"/>
      <c r="K3" s="144"/>
      <c r="L3" s="144"/>
      <c r="M3" s="142"/>
    </row>
    <row r="4" spans="2:13" ht="9.9499999999999993" customHeight="1">
      <c r="B4" s="145"/>
      <c r="C4" s="148"/>
      <c r="D4" s="145"/>
      <c r="E4" s="148"/>
      <c r="F4" s="145"/>
      <c r="G4" s="148"/>
      <c r="H4" s="145"/>
      <c r="I4" s="148"/>
      <c r="J4" s="145"/>
      <c r="K4" s="145"/>
      <c r="L4" s="145"/>
      <c r="M4" s="142"/>
    </row>
    <row r="5" spans="2:13" ht="24.95" customHeight="1">
      <c r="B5" s="83">
        <v>1</v>
      </c>
      <c r="C5" s="84" t="s">
        <v>407</v>
      </c>
      <c r="D5" s="85">
        <v>22</v>
      </c>
      <c r="E5" s="86" t="s">
        <v>408</v>
      </c>
      <c r="F5" s="85">
        <v>43</v>
      </c>
      <c r="G5" s="87" t="s">
        <v>409</v>
      </c>
      <c r="H5" s="85">
        <v>64</v>
      </c>
      <c r="I5" s="87" t="s">
        <v>410</v>
      </c>
      <c r="J5" s="85">
        <v>85</v>
      </c>
      <c r="K5" s="88" t="s">
        <v>411</v>
      </c>
      <c r="L5" s="89">
        <v>106</v>
      </c>
      <c r="M5" s="88" t="s">
        <v>412</v>
      </c>
    </row>
    <row r="6" spans="2:13" ht="24.95" customHeight="1">
      <c r="B6" s="85">
        <v>2</v>
      </c>
      <c r="C6" s="86" t="s">
        <v>413</v>
      </c>
      <c r="D6" s="85">
        <v>23</v>
      </c>
      <c r="E6" s="86" t="s">
        <v>414</v>
      </c>
      <c r="F6" s="85">
        <v>44</v>
      </c>
      <c r="G6" s="87" t="s">
        <v>415</v>
      </c>
      <c r="H6" s="85">
        <v>65</v>
      </c>
      <c r="I6" s="87" t="s">
        <v>416</v>
      </c>
      <c r="J6" s="83">
        <v>86</v>
      </c>
      <c r="K6" s="90" t="s">
        <v>417</v>
      </c>
      <c r="L6" s="89">
        <v>107</v>
      </c>
      <c r="M6" s="91" t="s">
        <v>418</v>
      </c>
    </row>
    <row r="7" spans="2:13" ht="24.95" customHeight="1">
      <c r="B7" s="85">
        <v>3</v>
      </c>
      <c r="C7" s="86" t="s">
        <v>419</v>
      </c>
      <c r="D7" s="85">
        <v>24</v>
      </c>
      <c r="E7" s="87" t="s">
        <v>420</v>
      </c>
      <c r="F7" s="85">
        <v>45</v>
      </c>
      <c r="G7" s="88" t="s">
        <v>421</v>
      </c>
      <c r="H7" s="85">
        <v>66</v>
      </c>
      <c r="I7" s="87" t="s">
        <v>422</v>
      </c>
      <c r="J7" s="85">
        <v>87</v>
      </c>
      <c r="K7" s="87" t="s">
        <v>423</v>
      </c>
      <c r="L7" s="89">
        <v>108</v>
      </c>
      <c r="M7" s="86" t="s">
        <v>424</v>
      </c>
    </row>
    <row r="8" spans="2:13" ht="36">
      <c r="B8" s="85">
        <v>4</v>
      </c>
      <c r="C8" s="87" t="s">
        <v>425</v>
      </c>
      <c r="D8" s="85">
        <v>25</v>
      </c>
      <c r="E8" s="87" t="s">
        <v>426</v>
      </c>
      <c r="F8" s="85">
        <v>46</v>
      </c>
      <c r="G8" s="88" t="s">
        <v>427</v>
      </c>
      <c r="H8" s="85">
        <v>67</v>
      </c>
      <c r="I8" s="87" t="s">
        <v>428</v>
      </c>
      <c r="J8" s="85">
        <v>88</v>
      </c>
      <c r="K8" s="87" t="s">
        <v>429</v>
      </c>
      <c r="L8" s="89">
        <v>109</v>
      </c>
      <c r="M8" s="86" t="s">
        <v>430</v>
      </c>
    </row>
    <row r="9" spans="2:13" ht="24">
      <c r="B9" s="83">
        <v>5</v>
      </c>
      <c r="C9" s="90" t="s">
        <v>431</v>
      </c>
      <c r="D9" s="85">
        <v>26</v>
      </c>
      <c r="E9" s="87" t="s">
        <v>432</v>
      </c>
      <c r="F9" s="85">
        <v>47</v>
      </c>
      <c r="G9" s="87" t="s">
        <v>433</v>
      </c>
      <c r="H9" s="85">
        <v>68</v>
      </c>
      <c r="I9" s="87" t="s">
        <v>434</v>
      </c>
      <c r="J9" s="85">
        <v>89</v>
      </c>
      <c r="K9" s="87" t="s">
        <v>435</v>
      </c>
      <c r="L9" s="89">
        <v>110</v>
      </c>
      <c r="M9" s="86" t="s">
        <v>436</v>
      </c>
    </row>
    <row r="10" spans="2:13" ht="24.95" customHeight="1">
      <c r="B10" s="85">
        <v>6</v>
      </c>
      <c r="C10" s="91" t="s">
        <v>437</v>
      </c>
      <c r="D10" s="85">
        <v>27</v>
      </c>
      <c r="E10" s="87" t="s">
        <v>438</v>
      </c>
      <c r="F10" s="85">
        <v>48</v>
      </c>
      <c r="G10" s="87" t="s">
        <v>439</v>
      </c>
      <c r="H10" s="85">
        <v>69</v>
      </c>
      <c r="I10" s="87" t="s">
        <v>440</v>
      </c>
      <c r="J10" s="83">
        <v>90</v>
      </c>
      <c r="K10" s="90" t="s">
        <v>441</v>
      </c>
      <c r="L10" s="89">
        <v>111</v>
      </c>
      <c r="M10" s="86" t="s">
        <v>442</v>
      </c>
    </row>
    <row r="11" spans="2:13" ht="24">
      <c r="B11" s="83">
        <v>7</v>
      </c>
      <c r="C11" s="90" t="s">
        <v>443</v>
      </c>
      <c r="D11" s="83">
        <v>28</v>
      </c>
      <c r="E11" s="90" t="s">
        <v>444</v>
      </c>
      <c r="F11" s="85">
        <v>49</v>
      </c>
      <c r="G11" s="87" t="s">
        <v>445</v>
      </c>
      <c r="H11" s="85">
        <v>70</v>
      </c>
      <c r="I11" s="87" t="s">
        <v>446</v>
      </c>
      <c r="J11" s="85">
        <v>91</v>
      </c>
      <c r="K11" s="86" t="s">
        <v>447</v>
      </c>
      <c r="L11" s="89">
        <v>112</v>
      </c>
      <c r="M11" s="86" t="s">
        <v>448</v>
      </c>
    </row>
    <row r="12" spans="2:13" ht="24.95" customHeight="1">
      <c r="B12" s="85">
        <v>8</v>
      </c>
      <c r="C12" s="87" t="s">
        <v>449</v>
      </c>
      <c r="D12" s="85">
        <v>29</v>
      </c>
      <c r="E12" s="86" t="s">
        <v>450</v>
      </c>
      <c r="F12" s="85">
        <v>50</v>
      </c>
      <c r="G12" s="87" t="s">
        <v>451</v>
      </c>
      <c r="H12" s="85">
        <v>71</v>
      </c>
      <c r="I12" s="87" t="s">
        <v>452</v>
      </c>
      <c r="J12" s="85">
        <v>92</v>
      </c>
      <c r="K12" s="87" t="s">
        <v>453</v>
      </c>
      <c r="L12" s="89">
        <v>113</v>
      </c>
      <c r="M12" s="86" t="s">
        <v>454</v>
      </c>
    </row>
    <row r="13" spans="2:13" ht="24.95" customHeight="1">
      <c r="B13" s="83">
        <v>9</v>
      </c>
      <c r="C13" s="90" t="s">
        <v>455</v>
      </c>
      <c r="D13" s="85">
        <v>30</v>
      </c>
      <c r="E13" s="86" t="s">
        <v>456</v>
      </c>
      <c r="F13" s="85">
        <v>51</v>
      </c>
      <c r="G13" s="88" t="s">
        <v>457</v>
      </c>
      <c r="H13" s="85">
        <v>72</v>
      </c>
      <c r="I13" s="87" t="s">
        <v>458</v>
      </c>
      <c r="J13" s="85">
        <v>93</v>
      </c>
      <c r="K13" s="87" t="s">
        <v>459</v>
      </c>
      <c r="L13" s="89">
        <v>114</v>
      </c>
      <c r="M13" s="86" t="s">
        <v>460</v>
      </c>
    </row>
    <row r="14" spans="2:13" ht="24">
      <c r="B14" s="85">
        <v>10</v>
      </c>
      <c r="C14" s="86" t="s">
        <v>461</v>
      </c>
      <c r="D14" s="85">
        <v>31</v>
      </c>
      <c r="E14" s="86" t="s">
        <v>421</v>
      </c>
      <c r="F14" s="83">
        <v>52</v>
      </c>
      <c r="G14" s="90" t="s">
        <v>462</v>
      </c>
      <c r="H14" s="85">
        <v>73</v>
      </c>
      <c r="I14" s="87" t="s">
        <v>463</v>
      </c>
      <c r="J14" s="85">
        <v>94</v>
      </c>
      <c r="K14" s="87" t="s">
        <v>464</v>
      </c>
      <c r="L14" s="89">
        <v>115</v>
      </c>
      <c r="M14" s="86" t="s">
        <v>465</v>
      </c>
    </row>
    <row r="15" spans="2:13" ht="24.95" customHeight="1">
      <c r="B15" s="85">
        <v>11</v>
      </c>
      <c r="C15" s="86" t="s">
        <v>466</v>
      </c>
      <c r="D15" s="85">
        <v>32</v>
      </c>
      <c r="E15" s="86" t="s">
        <v>427</v>
      </c>
      <c r="F15" s="85">
        <v>53</v>
      </c>
      <c r="G15" s="87" t="s">
        <v>467</v>
      </c>
      <c r="H15" s="85">
        <v>74</v>
      </c>
      <c r="I15" s="87" t="s">
        <v>468</v>
      </c>
      <c r="J15" s="85">
        <v>95</v>
      </c>
      <c r="K15" s="86" t="s">
        <v>469</v>
      </c>
      <c r="L15" s="89">
        <v>116</v>
      </c>
      <c r="M15" s="86" t="s">
        <v>470</v>
      </c>
    </row>
    <row r="16" spans="2:13" ht="24.95" customHeight="1">
      <c r="B16" s="85">
        <v>12</v>
      </c>
      <c r="C16" s="86" t="s">
        <v>471</v>
      </c>
      <c r="D16" s="85">
        <v>33</v>
      </c>
      <c r="E16" s="87" t="s">
        <v>472</v>
      </c>
      <c r="F16" s="85">
        <v>54</v>
      </c>
      <c r="G16" s="87" t="s">
        <v>473</v>
      </c>
      <c r="H16" s="85">
        <v>75</v>
      </c>
      <c r="I16" s="87" t="s">
        <v>474</v>
      </c>
      <c r="J16" s="85">
        <v>96</v>
      </c>
      <c r="K16" s="86" t="s">
        <v>475</v>
      </c>
      <c r="L16" s="89">
        <v>117</v>
      </c>
      <c r="M16" s="86" t="s">
        <v>476</v>
      </c>
    </row>
    <row r="17" spans="2:13" ht="24.95" customHeight="1">
      <c r="B17" s="85">
        <v>13</v>
      </c>
      <c r="C17" s="86" t="s">
        <v>477</v>
      </c>
      <c r="D17" s="85">
        <v>34</v>
      </c>
      <c r="E17" s="92" t="s">
        <v>478</v>
      </c>
      <c r="F17" s="85">
        <v>55</v>
      </c>
      <c r="G17" s="87" t="s">
        <v>479</v>
      </c>
      <c r="H17" s="85">
        <v>76</v>
      </c>
      <c r="I17" s="87" t="s">
        <v>480</v>
      </c>
      <c r="J17" s="85">
        <v>97</v>
      </c>
      <c r="K17" s="91" t="s">
        <v>481</v>
      </c>
      <c r="L17" s="89">
        <v>118</v>
      </c>
      <c r="M17" s="86" t="s">
        <v>482</v>
      </c>
    </row>
    <row r="18" spans="2:13" ht="24.95" customHeight="1">
      <c r="B18" s="85">
        <v>14</v>
      </c>
      <c r="C18" s="87" t="s">
        <v>483</v>
      </c>
      <c r="D18" s="85">
        <v>35</v>
      </c>
      <c r="E18" s="87" t="s">
        <v>484</v>
      </c>
      <c r="F18" s="85">
        <v>56</v>
      </c>
      <c r="G18" s="87" t="s">
        <v>485</v>
      </c>
      <c r="H18" s="85">
        <v>77</v>
      </c>
      <c r="I18" s="87" t="s">
        <v>486</v>
      </c>
      <c r="J18" s="85">
        <v>98</v>
      </c>
      <c r="K18" s="86" t="s">
        <v>487</v>
      </c>
      <c r="L18" s="89">
        <v>119</v>
      </c>
      <c r="M18" s="86" t="s">
        <v>488</v>
      </c>
    </row>
    <row r="19" spans="2:13" ht="24.95" customHeight="1">
      <c r="B19" s="83">
        <v>15</v>
      </c>
      <c r="C19" s="90" t="s">
        <v>489</v>
      </c>
      <c r="D19" s="85">
        <v>36</v>
      </c>
      <c r="E19" s="86" t="s">
        <v>490</v>
      </c>
      <c r="F19" s="85">
        <v>57</v>
      </c>
      <c r="G19" s="86" t="s">
        <v>491</v>
      </c>
      <c r="H19" s="85">
        <v>78</v>
      </c>
      <c r="I19" s="88" t="s">
        <v>492</v>
      </c>
      <c r="J19" s="85">
        <v>99</v>
      </c>
      <c r="K19" s="86" t="s">
        <v>493</v>
      </c>
      <c r="L19" s="89">
        <v>120</v>
      </c>
      <c r="M19" s="86" t="s">
        <v>494</v>
      </c>
    </row>
    <row r="20" spans="2:13" ht="24.95" customHeight="1">
      <c r="B20" s="85">
        <v>16</v>
      </c>
      <c r="C20" s="86" t="s">
        <v>495</v>
      </c>
      <c r="D20" s="83">
        <v>37</v>
      </c>
      <c r="E20" s="90" t="s">
        <v>496</v>
      </c>
      <c r="F20" s="85">
        <v>58</v>
      </c>
      <c r="G20" s="86" t="s">
        <v>497</v>
      </c>
      <c r="H20" s="83">
        <v>79</v>
      </c>
      <c r="I20" s="90" t="s">
        <v>498</v>
      </c>
      <c r="J20" s="89">
        <v>100</v>
      </c>
      <c r="K20" s="86" t="s">
        <v>499</v>
      </c>
      <c r="L20" s="89">
        <v>121</v>
      </c>
      <c r="M20" s="86" t="s">
        <v>500</v>
      </c>
    </row>
    <row r="21" spans="2:13" ht="24.95" customHeight="1">
      <c r="B21" s="85">
        <v>17</v>
      </c>
      <c r="C21" s="86" t="s">
        <v>501</v>
      </c>
      <c r="D21" s="85">
        <v>38</v>
      </c>
      <c r="E21" s="88" t="s">
        <v>450</v>
      </c>
      <c r="F21" s="85">
        <v>59</v>
      </c>
      <c r="G21" s="86" t="s">
        <v>502</v>
      </c>
      <c r="H21" s="85">
        <v>80</v>
      </c>
      <c r="I21" s="87" t="s">
        <v>503</v>
      </c>
      <c r="J21" s="89">
        <v>101</v>
      </c>
      <c r="K21" s="86" t="s">
        <v>504</v>
      </c>
      <c r="L21" s="89">
        <v>122</v>
      </c>
      <c r="M21" s="86" t="s">
        <v>505</v>
      </c>
    </row>
    <row r="22" spans="2:13" ht="24.95" customHeight="1">
      <c r="B22" s="85">
        <v>18</v>
      </c>
      <c r="C22" s="86" t="s">
        <v>506</v>
      </c>
      <c r="D22" s="85">
        <v>39</v>
      </c>
      <c r="E22" s="88" t="s">
        <v>456</v>
      </c>
      <c r="F22" s="85">
        <v>60</v>
      </c>
      <c r="G22" s="86" t="s">
        <v>507</v>
      </c>
      <c r="H22" s="85">
        <v>81</v>
      </c>
      <c r="I22" s="87" t="s">
        <v>508</v>
      </c>
      <c r="J22" s="89">
        <v>102</v>
      </c>
      <c r="K22" s="86" t="s">
        <v>509</v>
      </c>
      <c r="L22" s="93">
        <v>123</v>
      </c>
      <c r="M22" s="94" t="s">
        <v>510</v>
      </c>
    </row>
    <row r="23" spans="2:13" ht="24.95" customHeight="1">
      <c r="B23" s="85">
        <v>19</v>
      </c>
      <c r="C23" s="87" t="s">
        <v>511</v>
      </c>
      <c r="D23" s="85">
        <v>40</v>
      </c>
      <c r="E23" s="87" t="s">
        <v>512</v>
      </c>
      <c r="F23" s="85">
        <v>61</v>
      </c>
      <c r="G23" s="88" t="s">
        <v>513</v>
      </c>
      <c r="H23" s="85">
        <v>82</v>
      </c>
      <c r="I23" s="87" t="s">
        <v>514</v>
      </c>
      <c r="J23" s="89">
        <v>103</v>
      </c>
      <c r="K23" s="87" t="s">
        <v>515</v>
      </c>
      <c r="L23" s="93">
        <v>124</v>
      </c>
      <c r="M23" s="95" t="s">
        <v>516</v>
      </c>
    </row>
    <row r="24" spans="2:13" ht="36">
      <c r="B24" s="83">
        <v>20</v>
      </c>
      <c r="C24" s="90" t="s">
        <v>517</v>
      </c>
      <c r="D24" s="85">
        <v>41</v>
      </c>
      <c r="E24" s="87" t="s">
        <v>518</v>
      </c>
      <c r="F24" s="83">
        <v>62</v>
      </c>
      <c r="G24" s="90" t="s">
        <v>519</v>
      </c>
      <c r="H24" s="85">
        <v>83</v>
      </c>
      <c r="I24" s="87" t="s">
        <v>520</v>
      </c>
      <c r="J24" s="89">
        <v>104</v>
      </c>
      <c r="K24" s="86" t="s">
        <v>521</v>
      </c>
      <c r="L24" s="93">
        <v>125</v>
      </c>
      <c r="M24" s="94" t="s">
        <v>522</v>
      </c>
    </row>
    <row r="25" spans="2:13" ht="24.95" customHeight="1">
      <c r="B25" s="85">
        <v>21</v>
      </c>
      <c r="C25" s="86" t="s">
        <v>523</v>
      </c>
      <c r="D25" s="85">
        <v>42</v>
      </c>
      <c r="E25" s="87" t="s">
        <v>524</v>
      </c>
      <c r="F25" s="85">
        <v>63</v>
      </c>
      <c r="G25" s="87" t="s">
        <v>525</v>
      </c>
      <c r="H25" s="85">
        <v>84</v>
      </c>
      <c r="I25" s="87" t="s">
        <v>375</v>
      </c>
      <c r="J25" s="89">
        <v>105</v>
      </c>
      <c r="K25" s="86" t="s">
        <v>526</v>
      </c>
      <c r="L25" s="93">
        <v>126</v>
      </c>
      <c r="M25" s="94" t="s">
        <v>527</v>
      </c>
    </row>
    <row r="26" spans="2:13" ht="24">
      <c r="L26" s="93">
        <v>127</v>
      </c>
      <c r="M26" s="100" t="s">
        <v>528</v>
      </c>
    </row>
  </sheetData>
  <mergeCells count="12">
    <mergeCell ref="M2:M4"/>
    <mergeCell ref="B2:B4"/>
    <mergeCell ref="C2:C4"/>
    <mergeCell ref="D2:D4"/>
    <mergeCell ref="E2:E4"/>
    <mergeCell ref="F2:F4"/>
    <mergeCell ref="G2:G4"/>
    <mergeCell ref="H2:H4"/>
    <mergeCell ref="I2:I4"/>
    <mergeCell ref="J2:J4"/>
    <mergeCell ref="K2:K4"/>
    <mergeCell ref="L2:L4"/>
  </mergeCells>
  <phoneticPr fontId="1"/>
  <pageMargins left="0.70866141732283472" right="0.70866141732283472" top="0.74803149606299213" bottom="0.74803149606299213" header="0.31496062992125984" footer="0.31496062992125984"/>
  <pageSetup paperSize="9" scale="79" orientation="landscape" horizontalDpi="300" verticalDpi="300" r:id="rId1"/>
  <headerFooter>
    <oddHeader>&amp;L&amp;"-,太字"&amp;16データ標準レイアウト提供項目（Ｒ５．６月版）</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9A601A187D85C84A847A7FD3AA472DCA" ma:contentTypeVersion="6" ma:contentTypeDescription="新しいドキュメントを作成します。" ma:contentTypeScope="" ma:versionID="726cd40a82c34b9467b975b2ec66fb6d">
  <xsd:schema xmlns:xsd="http://www.w3.org/2001/XMLSchema" xmlns:xs="http://www.w3.org/2001/XMLSchema" xmlns:p="http://schemas.microsoft.com/office/2006/metadata/properties" xmlns:ns2="8d576fec-280b-424c-b2a6-ee739af5ab41" xmlns:ns3="3b0ebaae-a14e-4424-847b-6a3bebfea79a" targetNamespace="http://schemas.microsoft.com/office/2006/metadata/properties" ma:root="true" ma:fieldsID="cc1d95508396e61e59ed800ca12503a3" ns2:_="" ns3:_="">
    <xsd:import namespace="8d576fec-280b-424c-b2a6-ee739af5ab41"/>
    <xsd:import namespace="3b0ebaae-a14e-4424-847b-6a3bebfea79a"/>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d576fec-280b-424c-b2a6-ee739af5ab4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b0ebaae-a14e-4424-847b-6a3bebfea79a" elementFormDefault="qualified">
    <xsd:import namespace="http://schemas.microsoft.com/office/2006/documentManagement/types"/>
    <xsd:import namespace="http://schemas.microsoft.com/office/infopath/2007/PartnerControls"/>
    <xsd:element name="SharedWithUsers" ma:index="12"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F832E46-779B-4894-976F-3748C1ADDD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d576fec-280b-424c-b2a6-ee739af5ab41"/>
    <ds:schemaRef ds:uri="3b0ebaae-a14e-4424-847b-6a3bebfea79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DA980E5-7920-45B0-B273-8E1BF21CE41E}">
  <ds:schemaRefs>
    <ds:schemaRef ds:uri="http://schemas.microsoft.com/sharepoint/v3/contenttype/forms"/>
  </ds:schemaRefs>
</ds:datastoreItem>
</file>

<file path=customXml/itemProps3.xml><?xml version="1.0" encoding="utf-8"?>
<ds:datastoreItem xmlns:ds="http://schemas.openxmlformats.org/officeDocument/2006/customXml" ds:itemID="{297070B0-8195-42C2-BCC6-0909CF510B54}">
  <ds:schemaRefs>
    <ds:schemaRef ds:uri="http://www.w3.org/XML/1998/namespace"/>
    <ds:schemaRef ds:uri="http://schemas.openxmlformats.org/package/2006/metadata/core-properties"/>
    <ds:schemaRef ds:uri="http://schemas.microsoft.com/office/2006/metadata/properties"/>
    <ds:schemaRef ds:uri="http://schemas.microsoft.com/office/2006/documentManagement/types"/>
    <ds:schemaRef ds:uri="http://purl.org/dc/dcmitype/"/>
    <ds:schemaRef ds:uri="http://schemas.microsoft.com/office/infopath/2007/PartnerControls"/>
    <ds:schemaRef ds:uri="http://purl.org/dc/elements/1.1/"/>
    <ds:schemaRef ds:uri="3b0ebaae-a14e-4424-847b-6a3bebfea79a"/>
    <ds:schemaRef ds:uri="8d576fec-280b-424c-b2a6-ee739af5ab41"/>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4</vt:i4>
      </vt:variant>
    </vt:vector>
  </HeadingPairs>
  <TitlesOfParts>
    <vt:vector size="12" baseType="lpstr">
      <vt:lpstr>表紙</vt:lpstr>
      <vt:lpstr>インプットファイル</vt:lpstr>
      <vt:lpstr>アウトプットファイル</vt:lpstr>
      <vt:lpstr>算定式（修正後）</vt:lpstr>
      <vt:lpstr>記入例（特別徴収 例1)</vt:lpstr>
      <vt:lpstr>記入例（特別徴収 例2)</vt:lpstr>
      <vt:lpstr>記入例（普通徴収 例)</vt:lpstr>
      <vt:lpstr>データ標準レイアウト</vt:lpstr>
      <vt:lpstr>'記入例（特別徴収 例1)'!Print_Area</vt:lpstr>
      <vt:lpstr>'記入例（特別徴収 例2)'!Print_Area</vt:lpstr>
      <vt:lpstr>'記入例（普通徴収 例)'!Print_Area</vt:lpstr>
      <vt:lpstr>'算定式（修正後）'!Print_Area</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2024-03-28T10:54:37Z</dcterms:created>
  <dcterms:modified xsi:type="dcterms:W3CDTF">2024-07-02T01:02:08Z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0x0101009A601A187D85C84A847A7FD3AA472DCA</vt:lpwstr>
  </property>
  <property fmtid="{D5CDD505-2E9C-101B-9397-08002B2CF9AE}" pid="3" name="MediaServiceImageTags">
    <vt:lpwstr/>
  </property>
</Properties>
</file>