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iizuka-filesv\Redirection$\02-00001658\Desktop\"/>
    </mc:Choice>
  </mc:AlternateContent>
  <bookViews>
    <workbookView xWindow="0" yWindow="600" windowWidth="19200" windowHeight="12915" tabRatio="844"/>
  </bookViews>
  <sheets>
    <sheet name="Ｒ7年度飯塚市国保税試算表" sheetId="80" r:id="rId1"/>
  </sheets>
  <definedNames>
    <definedName name="_xlnm.Print_Area" localSheetId="0">'Ｒ7年度飯塚市国保税試算表'!$A$1:$AJ$35</definedName>
  </definedNames>
  <calcPr calcId="152511"/>
</workbook>
</file>

<file path=xl/calcChain.xml><?xml version="1.0" encoding="utf-8"?>
<calcChain xmlns="http://schemas.openxmlformats.org/spreadsheetml/2006/main">
  <c r="AC38" i="80" l="1"/>
  <c r="AX18" i="80" l="1"/>
  <c r="G40" i="80" l="1"/>
  <c r="G41" i="80"/>
  <c r="G42" i="80"/>
  <c r="G43" i="80"/>
  <c r="G44" i="80"/>
  <c r="G45" i="80"/>
  <c r="G39" i="80"/>
  <c r="G38" i="80"/>
  <c r="BM53" i="80" l="1"/>
  <c r="BY19" i="80"/>
  <c r="BM19" i="80"/>
  <c r="E103" i="80"/>
  <c r="E91" i="80"/>
  <c r="E79" i="80" l="1"/>
  <c r="E72" i="80"/>
  <c r="BL219" i="80"/>
  <c r="BX219" i="80" s="1"/>
  <c r="BY216" i="80"/>
  <c r="BM216" i="80"/>
  <c r="BV215" i="80"/>
  <c r="BJ215" i="80"/>
  <c r="AX215" i="80"/>
  <c r="AS213" i="80" s="1"/>
  <c r="BA213" i="80" s="1"/>
  <c r="AS209" i="80"/>
  <c r="BA209" i="80" s="1"/>
  <c r="AS208" i="80"/>
  <c r="BA208" i="80" s="1"/>
  <c r="BE206" i="80"/>
  <c r="BM206" i="80" s="1"/>
  <c r="BE205" i="80"/>
  <c r="BM205" i="80" s="1"/>
  <c r="AS205" i="80"/>
  <c r="BA205" i="80" s="1"/>
  <c r="BE204" i="80"/>
  <c r="BM204" i="80" s="1"/>
  <c r="BL192" i="80"/>
  <c r="BX192" i="80" s="1"/>
  <c r="BY189" i="80"/>
  <c r="BM189" i="80"/>
  <c r="BJ188" i="80"/>
  <c r="AX188" i="80"/>
  <c r="AS181" i="80" s="1"/>
  <c r="BA181" i="80" s="1"/>
  <c r="AS186" i="80"/>
  <c r="BA186" i="80" s="1"/>
  <c r="AS185" i="80"/>
  <c r="BA185" i="80" s="1"/>
  <c r="AS184" i="80"/>
  <c r="BA184" i="80" s="1"/>
  <c r="AS183" i="80"/>
  <c r="BA183" i="80" s="1"/>
  <c r="AS182" i="80"/>
  <c r="BA182" i="80" s="1"/>
  <c r="AS180" i="80"/>
  <c r="BA180" i="80" s="1"/>
  <c r="AS179" i="80"/>
  <c r="BA179" i="80" s="1"/>
  <c r="AS178" i="80"/>
  <c r="BA178" i="80" s="1"/>
  <c r="AS177" i="80"/>
  <c r="BA177" i="80" s="1"/>
  <c r="AS176" i="80"/>
  <c r="BA176" i="80" s="1"/>
  <c r="BX165" i="80"/>
  <c r="BL165" i="80"/>
  <c r="BY162" i="80"/>
  <c r="BM162" i="80"/>
  <c r="BJ161" i="80"/>
  <c r="BE149" i="80" s="1"/>
  <c r="BM149" i="80" s="1"/>
  <c r="AX161" i="80"/>
  <c r="AS158" i="80" s="1"/>
  <c r="BA158" i="80" s="1"/>
  <c r="BE153" i="80"/>
  <c r="BM153" i="80" s="1"/>
  <c r="BE151" i="80"/>
  <c r="BM151" i="80" s="1"/>
  <c r="BL138" i="80"/>
  <c r="BX138" i="80" s="1"/>
  <c r="BY135" i="80"/>
  <c r="BM135" i="80"/>
  <c r="BJ134" i="80"/>
  <c r="BV134" i="80" s="1"/>
  <c r="AX134" i="80"/>
  <c r="AS129" i="80" s="1"/>
  <c r="BA129" i="80" s="1"/>
  <c r="BE126" i="80"/>
  <c r="BM126" i="80" s="1"/>
  <c r="BE125" i="80"/>
  <c r="BM125" i="80" s="1"/>
  <c r="BE124" i="80"/>
  <c r="BM124" i="80" s="1"/>
  <c r="AS123" i="80"/>
  <c r="BA123" i="80" s="1"/>
  <c r="BL111" i="80"/>
  <c r="E109" i="80"/>
  <c r="BY108" i="80"/>
  <c r="BM108" i="80"/>
  <c r="BV107" i="80"/>
  <c r="BJ107" i="80"/>
  <c r="AX107" i="80"/>
  <c r="AS101" i="80" s="1"/>
  <c r="BA101" i="80" s="1"/>
  <c r="AS102" i="80"/>
  <c r="BA102" i="80" s="1"/>
  <c r="AS100" i="80"/>
  <c r="BA100" i="80" s="1"/>
  <c r="AS98" i="80"/>
  <c r="BA98" i="80" s="1"/>
  <c r="E97" i="80"/>
  <c r="E85" i="80"/>
  <c r="BX84" i="80"/>
  <c r="BL84" i="80"/>
  <c r="BY81" i="80"/>
  <c r="BM81" i="80"/>
  <c r="BJ80" i="80"/>
  <c r="BE72" i="80" s="1"/>
  <c r="BM72" i="80" s="1"/>
  <c r="AX80" i="80"/>
  <c r="AS77" i="80" s="1"/>
  <c r="BA77" i="80" s="1"/>
  <c r="AS73" i="80"/>
  <c r="BA73" i="80" s="1"/>
  <c r="E66" i="80"/>
  <c r="K70" i="80" s="1"/>
  <c r="P62" i="80"/>
  <c r="P63" i="80" s="1"/>
  <c r="E62" i="80"/>
  <c r="E63" i="80" s="1"/>
  <c r="BL56" i="80"/>
  <c r="E54" i="80"/>
  <c r="E55" i="80" s="1"/>
  <c r="BY53" i="80"/>
  <c r="R53" i="80"/>
  <c r="BJ52" i="80"/>
  <c r="BV52" i="80" s="1"/>
  <c r="AX52" i="80"/>
  <c r="AS50" i="80" s="1"/>
  <c r="BA50" i="80" s="1"/>
  <c r="AK45" i="80"/>
  <c r="AJ45" i="80"/>
  <c r="AI45" i="80"/>
  <c r="AH45" i="80"/>
  <c r="AF45" i="80"/>
  <c r="AE45" i="80"/>
  <c r="AD45" i="80"/>
  <c r="AC45" i="80"/>
  <c r="K45" i="80"/>
  <c r="I45" i="80"/>
  <c r="E45" i="80"/>
  <c r="D45" i="80"/>
  <c r="AK44" i="80"/>
  <c r="AJ44" i="80"/>
  <c r="AI44" i="80"/>
  <c r="AH44" i="80"/>
  <c r="AF44" i="80"/>
  <c r="AE44" i="80"/>
  <c r="AD44" i="80"/>
  <c r="AC44" i="80"/>
  <c r="K44" i="80"/>
  <c r="I44" i="80"/>
  <c r="E44" i="80"/>
  <c r="D44" i="80"/>
  <c r="AK43" i="80"/>
  <c r="AJ43" i="80"/>
  <c r="AI43" i="80"/>
  <c r="AH43" i="80"/>
  <c r="AF43" i="80"/>
  <c r="AE43" i="80"/>
  <c r="AD43" i="80"/>
  <c r="AC43" i="80"/>
  <c r="K43" i="80"/>
  <c r="I43" i="80"/>
  <c r="E43" i="80"/>
  <c r="D43" i="80"/>
  <c r="AK42" i="80"/>
  <c r="AJ42" i="80"/>
  <c r="AI42" i="80"/>
  <c r="AH42" i="80"/>
  <c r="AF42" i="80"/>
  <c r="AE42" i="80"/>
  <c r="AD42" i="80"/>
  <c r="AC42" i="80"/>
  <c r="K42" i="80"/>
  <c r="I42" i="80"/>
  <c r="E42" i="80"/>
  <c r="D42" i="80"/>
  <c r="AK41" i="80"/>
  <c r="AJ41" i="80"/>
  <c r="AI41" i="80"/>
  <c r="AH41" i="80"/>
  <c r="AF41" i="80"/>
  <c r="AE41" i="80"/>
  <c r="AD41" i="80"/>
  <c r="AC41" i="80"/>
  <c r="K41" i="80"/>
  <c r="I41" i="80"/>
  <c r="E41" i="80"/>
  <c r="N88" i="80" s="1"/>
  <c r="D41" i="80"/>
  <c r="AK40" i="80"/>
  <c r="AJ40" i="80"/>
  <c r="AI40" i="80"/>
  <c r="AH40" i="80"/>
  <c r="AF40" i="80"/>
  <c r="AE40" i="80"/>
  <c r="AD40" i="80"/>
  <c r="AC40" i="80"/>
  <c r="K40" i="80"/>
  <c r="I40" i="80"/>
  <c r="E40" i="80"/>
  <c r="D40" i="80"/>
  <c r="AK39" i="80"/>
  <c r="AJ39" i="80"/>
  <c r="AI39" i="80"/>
  <c r="AH39" i="80"/>
  <c r="AF39" i="80"/>
  <c r="AE39" i="80"/>
  <c r="AD39" i="80"/>
  <c r="AC39" i="80"/>
  <c r="K39" i="80"/>
  <c r="I39" i="80"/>
  <c r="E39" i="80"/>
  <c r="D39" i="80"/>
  <c r="AK38" i="80"/>
  <c r="AJ38" i="80"/>
  <c r="AI38" i="80"/>
  <c r="AH38" i="80"/>
  <c r="AF38" i="80"/>
  <c r="AE38" i="80"/>
  <c r="AD38" i="80"/>
  <c r="K38" i="80"/>
  <c r="I38" i="80"/>
  <c r="E38" i="80"/>
  <c r="D38" i="80"/>
  <c r="BX22" i="80"/>
  <c r="BL22" i="80"/>
  <c r="BJ18" i="80"/>
  <c r="BE8" i="80" s="1"/>
  <c r="BM8" i="80" s="1"/>
  <c r="AS16" i="80"/>
  <c r="BA16" i="80" s="1"/>
  <c r="BE68" i="80" l="1"/>
  <c r="BM68" i="80" s="1"/>
  <c r="AS40" i="80"/>
  <c r="BA40" i="80" s="1"/>
  <c r="BQ125" i="80"/>
  <c r="BY125" i="80" s="1"/>
  <c r="BQ124" i="80"/>
  <c r="BY124" i="80" s="1"/>
  <c r="BQ122" i="80"/>
  <c r="BY122" i="80" s="1"/>
  <c r="BQ123" i="80"/>
  <c r="BY123" i="80" s="1"/>
  <c r="BQ126" i="80"/>
  <c r="BY126" i="80" s="1"/>
  <c r="AS150" i="80"/>
  <c r="BA150" i="80" s="1"/>
  <c r="I46" i="80"/>
  <c r="O54" i="80" s="1"/>
  <c r="Y63" i="80" s="1"/>
  <c r="N94" i="80"/>
  <c r="K93" i="80"/>
  <c r="K95" i="80"/>
  <c r="N95" i="80" s="1"/>
  <c r="H93" i="80"/>
  <c r="H95" i="80"/>
  <c r="E94" i="80"/>
  <c r="K94" i="80"/>
  <c r="E93" i="80"/>
  <c r="E95" i="80"/>
  <c r="AE95" i="80"/>
  <c r="AE94" i="80"/>
  <c r="N93" i="80"/>
  <c r="H94" i="80"/>
  <c r="AE93" i="80"/>
  <c r="AS43" i="80"/>
  <c r="BA43" i="80" s="1"/>
  <c r="AS95" i="80"/>
  <c r="BA95" i="80" s="1"/>
  <c r="AS104" i="80"/>
  <c r="BA104" i="80" s="1"/>
  <c r="BE123" i="80"/>
  <c r="BM123" i="80" s="1"/>
  <c r="BE150" i="80"/>
  <c r="BM150" i="80" s="1"/>
  <c r="AS152" i="80"/>
  <c r="BA152" i="80" s="1"/>
  <c r="BV161" i="80"/>
  <c r="BQ151" i="80" s="1"/>
  <c r="BY151" i="80" s="1"/>
  <c r="AS211" i="80"/>
  <c r="BA211" i="80" s="1"/>
  <c r="BQ153" i="80"/>
  <c r="BY153" i="80" s="1"/>
  <c r="AS155" i="80"/>
  <c r="BA155" i="80" s="1"/>
  <c r="N100" i="80"/>
  <c r="E100" i="80"/>
  <c r="H99" i="80"/>
  <c r="K101" i="80"/>
  <c r="N101" i="80" s="1"/>
  <c r="H100" i="80"/>
  <c r="AE99" i="80"/>
  <c r="K100" i="80"/>
  <c r="K99" i="80"/>
  <c r="E99" i="80"/>
  <c r="N99" i="80"/>
  <c r="AE101" i="80"/>
  <c r="E101" i="80"/>
  <c r="AE100" i="80"/>
  <c r="H101" i="80"/>
  <c r="BE43" i="80"/>
  <c r="BM43" i="80" s="1"/>
  <c r="AS68" i="80"/>
  <c r="BA68" i="80" s="1"/>
  <c r="AS105" i="80"/>
  <c r="BA105" i="80" s="1"/>
  <c r="AS149" i="80"/>
  <c r="BA149" i="80" s="1"/>
  <c r="BE152" i="80"/>
  <c r="BM152" i="80" s="1"/>
  <c r="AS156" i="80"/>
  <c r="BA156" i="80" s="1"/>
  <c r="AS203" i="80"/>
  <c r="BA203" i="80" s="1"/>
  <c r="AS206" i="80"/>
  <c r="BA206" i="80" s="1"/>
  <c r="AS212" i="80"/>
  <c r="BA212" i="80" s="1"/>
  <c r="AS157" i="80"/>
  <c r="BA157" i="80" s="1"/>
  <c r="BE179" i="80"/>
  <c r="BM179" i="80" s="1"/>
  <c r="AS42" i="80"/>
  <c r="BA42" i="80" s="1"/>
  <c r="AS45" i="80"/>
  <c r="BA45" i="80" s="1"/>
  <c r="K105" i="80"/>
  <c r="AE105" i="80"/>
  <c r="N105" i="80"/>
  <c r="E106" i="80"/>
  <c r="H106" i="80"/>
  <c r="K106" i="80"/>
  <c r="AE106" i="80"/>
  <c r="H107" i="80"/>
  <c r="E105" i="80"/>
  <c r="H105" i="80"/>
  <c r="N106" i="80"/>
  <c r="AE107" i="80"/>
  <c r="K107" i="80"/>
  <c r="N107" i="80" s="1"/>
  <c r="E107" i="80"/>
  <c r="H113" i="80"/>
  <c r="AE111" i="80"/>
  <c r="E111" i="80"/>
  <c r="K113" i="80"/>
  <c r="N113" i="80" s="1"/>
  <c r="AE113" i="80"/>
  <c r="H112" i="80"/>
  <c r="E113" i="80"/>
  <c r="N112" i="80"/>
  <c r="K112" i="80"/>
  <c r="AE112" i="80"/>
  <c r="H111" i="80"/>
  <c r="K111" i="80"/>
  <c r="E112" i="80"/>
  <c r="N111" i="80"/>
  <c r="AS47" i="80"/>
  <c r="BA47" i="80" s="1"/>
  <c r="BE44" i="80"/>
  <c r="BM44" i="80" s="1"/>
  <c r="AS72" i="80"/>
  <c r="BA72" i="80" s="1"/>
  <c r="AS99" i="80"/>
  <c r="BA99" i="80" s="1"/>
  <c r="BE122" i="80"/>
  <c r="BM122" i="80" s="1"/>
  <c r="BJ135" i="80" s="1"/>
  <c r="AX141" i="80" s="1"/>
  <c r="AS151" i="80"/>
  <c r="BA151" i="80" s="1"/>
  <c r="AS153" i="80"/>
  <c r="BA153" i="80" s="1"/>
  <c r="AS159" i="80"/>
  <c r="BA159" i="80" s="1"/>
  <c r="BE178" i="80"/>
  <c r="BM178" i="80" s="1"/>
  <c r="AS204" i="80"/>
  <c r="BA204" i="80" s="1"/>
  <c r="AS207" i="80"/>
  <c r="BA207" i="80" s="1"/>
  <c r="AS41" i="80"/>
  <c r="BA41" i="80" s="1"/>
  <c r="BE41" i="80"/>
  <c r="BM41" i="80" s="1"/>
  <c r="K76" i="80"/>
  <c r="N76" i="80" s="1"/>
  <c r="AS11" i="80"/>
  <c r="BA11" i="80" s="1"/>
  <c r="AS6" i="80"/>
  <c r="BA6" i="80" s="1"/>
  <c r="AS12" i="80"/>
  <c r="BA12" i="80" s="1"/>
  <c r="AS7" i="80"/>
  <c r="BA7" i="80" s="1"/>
  <c r="AS13" i="80"/>
  <c r="BA13" i="80" s="1"/>
  <c r="AS8" i="80"/>
  <c r="BA8" i="80" s="1"/>
  <c r="AS14" i="80"/>
  <c r="BA14" i="80" s="1"/>
  <c r="AS15" i="80"/>
  <c r="BA15" i="80" s="1"/>
  <c r="AS5" i="80"/>
  <c r="BA5" i="80" s="1"/>
  <c r="AS9" i="80"/>
  <c r="BA9" i="80" s="1"/>
  <c r="N31" i="80"/>
  <c r="AS70" i="80"/>
  <c r="BA70" i="80" s="1"/>
  <c r="AS75" i="80"/>
  <c r="BA75" i="80" s="1"/>
  <c r="AS44" i="80"/>
  <c r="BA44" i="80" s="1"/>
  <c r="BE70" i="80"/>
  <c r="BM70" i="80" s="1"/>
  <c r="AS76" i="80"/>
  <c r="BA76" i="80" s="1"/>
  <c r="AS97" i="80"/>
  <c r="BA97" i="80" s="1"/>
  <c r="AS103" i="80"/>
  <c r="BA103" i="80" s="1"/>
  <c r="K87" i="80"/>
  <c r="AS71" i="80"/>
  <c r="BA71" i="80" s="1"/>
  <c r="AS78" i="80"/>
  <c r="BA78" i="80" s="1"/>
  <c r="K88" i="80"/>
  <c r="K83" i="80"/>
  <c r="N83" i="80" s="1"/>
  <c r="K82" i="80"/>
  <c r="K81" i="80"/>
  <c r="K89" i="80"/>
  <c r="N89" i="80" s="1"/>
  <c r="N87" i="80"/>
  <c r="AS48" i="80"/>
  <c r="BA48" i="80" s="1"/>
  <c r="BE69" i="80"/>
  <c r="BM69" i="80" s="1"/>
  <c r="AS74" i="80"/>
  <c r="BA74" i="80" s="1"/>
  <c r="AS96" i="80"/>
  <c r="BA96" i="80" s="1"/>
  <c r="BE40" i="80"/>
  <c r="BM40" i="80" s="1"/>
  <c r="BE42" i="80"/>
  <c r="BM42" i="80" s="1"/>
  <c r="BV18" i="80"/>
  <c r="BQ7" i="80" s="1"/>
  <c r="BY7" i="80" s="1"/>
  <c r="BE5" i="80"/>
  <c r="BM5" i="80" s="1"/>
  <c r="BE7" i="80"/>
  <c r="BM7" i="80" s="1"/>
  <c r="BE9" i="80"/>
  <c r="BM9" i="80" s="1"/>
  <c r="BE6" i="80"/>
  <c r="BM6" i="80" s="1"/>
  <c r="K74" i="80"/>
  <c r="K75" i="80"/>
  <c r="K69" i="80"/>
  <c r="K68" i="80"/>
  <c r="N70" i="80"/>
  <c r="N32" i="80"/>
  <c r="E46" i="80"/>
  <c r="N69" i="80" s="1"/>
  <c r="K46" i="80"/>
  <c r="BJ162" i="80"/>
  <c r="AX168" i="80" s="1"/>
  <c r="AX189" i="80"/>
  <c r="AX194" i="80" s="1"/>
  <c r="BX111" i="80"/>
  <c r="BQ95" i="80" s="1"/>
  <c r="BY95" i="80" s="1"/>
  <c r="BE98" i="80"/>
  <c r="BM98" i="80" s="1"/>
  <c r="BE97" i="80"/>
  <c r="BM97" i="80" s="1"/>
  <c r="AS46" i="80"/>
  <c r="BA46" i="80" s="1"/>
  <c r="BX56" i="80"/>
  <c r="BQ40" i="80" s="1"/>
  <c r="BY40" i="80" s="1"/>
  <c r="AS69" i="80"/>
  <c r="BA69" i="80" s="1"/>
  <c r="BV80" i="80"/>
  <c r="AS122" i="80"/>
  <c r="BA122" i="80" s="1"/>
  <c r="AS130" i="80"/>
  <c r="BA130" i="80" s="1"/>
  <c r="AS154" i="80"/>
  <c r="BA154" i="80" s="1"/>
  <c r="BE177" i="80"/>
  <c r="BM177" i="80" s="1"/>
  <c r="BV188" i="80"/>
  <c r="BE203" i="80"/>
  <c r="BM203" i="80" s="1"/>
  <c r="BE207" i="80"/>
  <c r="BM207" i="80" s="1"/>
  <c r="AS49" i="80"/>
  <c r="BA49" i="80" s="1"/>
  <c r="AS127" i="80"/>
  <c r="BA127" i="80" s="1"/>
  <c r="BE176" i="80"/>
  <c r="BM176" i="80" s="1"/>
  <c r="BQ207" i="80"/>
  <c r="BY207" i="80" s="1"/>
  <c r="BQ206" i="80"/>
  <c r="BY206" i="80" s="1"/>
  <c r="BQ205" i="80"/>
  <c r="BY205" i="80" s="1"/>
  <c r="BQ204" i="80"/>
  <c r="BY204" i="80" s="1"/>
  <c r="BQ203" i="80"/>
  <c r="BY203" i="80" s="1"/>
  <c r="BE99" i="80"/>
  <c r="BM99" i="80" s="1"/>
  <c r="AS126" i="80"/>
  <c r="BA126" i="80" s="1"/>
  <c r="AS131" i="80"/>
  <c r="BA131" i="80" s="1"/>
  <c r="BE96" i="80"/>
  <c r="BM96" i="80" s="1"/>
  <c r="AS125" i="80"/>
  <c r="BA125" i="80" s="1"/>
  <c r="AS128" i="80"/>
  <c r="BA128" i="80" s="1"/>
  <c r="AS132" i="80"/>
  <c r="BA132" i="80" s="1"/>
  <c r="BE180" i="80"/>
  <c r="BM180" i="80" s="1"/>
  <c r="BE71" i="80"/>
  <c r="BM71" i="80" s="1"/>
  <c r="BE95" i="80"/>
  <c r="BM95" i="80" s="1"/>
  <c r="AS124" i="80"/>
  <c r="BA124" i="80" s="1"/>
  <c r="AS210" i="80"/>
  <c r="BA210" i="80" s="1"/>
  <c r="AX171" i="80" l="1"/>
  <c r="BJ216" i="80"/>
  <c r="AX162" i="80"/>
  <c r="AX167" i="80" s="1"/>
  <c r="AX19" i="80"/>
  <c r="AX24" i="80" s="1"/>
  <c r="BQ6" i="80"/>
  <c r="BY6" i="80" s="1"/>
  <c r="BQ96" i="80"/>
  <c r="BY96" i="80" s="1"/>
  <c r="R54" i="80"/>
  <c r="O55" i="80"/>
  <c r="R55" i="80" s="1"/>
  <c r="Y62" i="80"/>
  <c r="BQ97" i="80"/>
  <c r="BY97" i="80" s="1"/>
  <c r="BQ149" i="80"/>
  <c r="BY149" i="80" s="1"/>
  <c r="BQ152" i="80"/>
  <c r="BY152" i="80" s="1"/>
  <c r="BQ150" i="80"/>
  <c r="BY150" i="80" s="1"/>
  <c r="BV135" i="80"/>
  <c r="AX216" i="80"/>
  <c r="AX221" i="80" s="1"/>
  <c r="AX144" i="80"/>
  <c r="BQ43" i="80"/>
  <c r="BY43" i="80" s="1"/>
  <c r="N82" i="80"/>
  <c r="N81" i="80"/>
  <c r="N74" i="80"/>
  <c r="BQ98" i="80"/>
  <c r="BY98" i="80" s="1"/>
  <c r="BQ99" i="80"/>
  <c r="BY99" i="80" s="1"/>
  <c r="BQ44" i="80"/>
  <c r="BY44" i="80" s="1"/>
  <c r="AX108" i="80"/>
  <c r="AX113" i="80" s="1"/>
  <c r="BJ81" i="80"/>
  <c r="AX90" i="80" s="1"/>
  <c r="AX81" i="80"/>
  <c r="AX86" i="80" s="1"/>
  <c r="BQ41" i="80"/>
  <c r="BY41" i="80" s="1"/>
  <c r="N75" i="80"/>
  <c r="AX53" i="80"/>
  <c r="AX58" i="80" s="1"/>
  <c r="N68" i="80"/>
  <c r="BQ9" i="80"/>
  <c r="BY9" i="80" s="1"/>
  <c r="BJ53" i="80"/>
  <c r="AX62" i="80" s="1"/>
  <c r="BQ8" i="80"/>
  <c r="BY8" i="80" s="1"/>
  <c r="BQ5" i="80"/>
  <c r="BY5" i="80" s="1"/>
  <c r="BJ19" i="80"/>
  <c r="AX135" i="80"/>
  <c r="AX140" i="80" s="1"/>
  <c r="AX169" i="80"/>
  <c r="X43" i="80" s="1"/>
  <c r="R26" i="80" s="1"/>
  <c r="T43" i="80" s="1"/>
  <c r="M43" i="80"/>
  <c r="BJ108" i="80"/>
  <c r="BQ176" i="80"/>
  <c r="BY176" i="80" s="1"/>
  <c r="BQ177" i="80"/>
  <c r="BY177" i="80" s="1"/>
  <c r="BQ178" i="80"/>
  <c r="BY178" i="80" s="1"/>
  <c r="BQ179" i="80"/>
  <c r="BY179" i="80" s="1"/>
  <c r="BQ180" i="80"/>
  <c r="BY180" i="80" s="1"/>
  <c r="K33" i="80"/>
  <c r="K119" i="80"/>
  <c r="BJ189" i="80"/>
  <c r="BQ69" i="80"/>
  <c r="BY69" i="80" s="1"/>
  <c r="BQ68" i="80"/>
  <c r="BY68" i="80" s="1"/>
  <c r="BQ70" i="80"/>
  <c r="BY70" i="80" s="1"/>
  <c r="BQ72" i="80"/>
  <c r="BY72" i="80" s="1"/>
  <c r="BQ71" i="80"/>
  <c r="BY71" i="80" s="1"/>
  <c r="BV216" i="80"/>
  <c r="BQ42" i="80"/>
  <c r="BY42" i="80" s="1"/>
  <c r="K117" i="80"/>
  <c r="K31" i="80"/>
  <c r="K118" i="80"/>
  <c r="K32" i="80"/>
  <c r="K61" i="80"/>
  <c r="AB61" i="80" s="1"/>
  <c r="E48" i="80"/>
  <c r="K63" i="80"/>
  <c r="AB63" i="80" s="1"/>
  <c r="K62" i="80"/>
  <c r="BV108" i="80" l="1"/>
  <c r="AX225" i="80"/>
  <c r="M45" i="80" s="1"/>
  <c r="AX222" i="80"/>
  <c r="AX223" i="80" s="1"/>
  <c r="X45" i="80" s="1"/>
  <c r="R28" i="80" s="1"/>
  <c r="T45" i="80" s="1"/>
  <c r="AX87" i="80"/>
  <c r="AX88" i="80" s="1"/>
  <c r="X40" i="80" s="1"/>
  <c r="R23" i="80" s="1"/>
  <c r="T40" i="80" s="1"/>
  <c r="BV162" i="80"/>
  <c r="AG50" i="80"/>
  <c r="AB62" i="80"/>
  <c r="AG51" i="80" s="1"/>
  <c r="N118" i="80"/>
  <c r="N117" i="80"/>
  <c r="M40" i="80"/>
  <c r="BV53" i="80"/>
  <c r="AX59" i="80"/>
  <c r="AX60" i="80" s="1"/>
  <c r="X39" i="80" s="1"/>
  <c r="R22" i="80" s="1"/>
  <c r="T39" i="80" s="1"/>
  <c r="E74" i="80" s="1"/>
  <c r="M39" i="80"/>
  <c r="BV19" i="80"/>
  <c r="AX25" i="80"/>
  <c r="AX26" i="80" s="1"/>
  <c r="X38" i="80" s="1"/>
  <c r="R21" i="80" s="1"/>
  <c r="T38" i="80" s="1"/>
  <c r="AX28" i="80"/>
  <c r="M38" i="80" s="1"/>
  <c r="H83" i="80"/>
  <c r="E83" i="80"/>
  <c r="E82" i="80"/>
  <c r="H82" i="80"/>
  <c r="E81" i="80"/>
  <c r="H81" i="80"/>
  <c r="N33" i="80"/>
  <c r="BV189" i="80"/>
  <c r="BV81" i="80"/>
  <c r="AX142" i="80"/>
  <c r="X42" i="80" s="1"/>
  <c r="R25" i="80" s="1"/>
  <c r="T42" i="80" s="1"/>
  <c r="M42" i="80"/>
  <c r="AG52" i="80"/>
  <c r="N119" i="80"/>
  <c r="AX117" i="80"/>
  <c r="M41" i="80" s="1"/>
  <c r="AX114" i="80"/>
  <c r="AX115" i="80" s="1"/>
  <c r="X41" i="80" s="1"/>
  <c r="R24" i="80" s="1"/>
  <c r="T41" i="80" s="1"/>
  <c r="AX198" i="80"/>
  <c r="M44" i="80" s="1"/>
  <c r="AX195" i="80"/>
  <c r="AX196" i="80" s="1"/>
  <c r="X44" i="80" s="1"/>
  <c r="R27" i="80" s="1"/>
  <c r="T44" i="80" s="1"/>
  <c r="E70" i="80" l="1"/>
  <c r="H33" i="80"/>
  <c r="E33" i="80"/>
  <c r="H74" i="80"/>
  <c r="H76" i="80"/>
  <c r="E75" i="80"/>
  <c r="E76" i="80"/>
  <c r="H75" i="80"/>
  <c r="Q38" i="80"/>
  <c r="E68" i="80"/>
  <c r="H70" i="80"/>
  <c r="H88" i="80"/>
  <c r="E89" i="80"/>
  <c r="H87" i="80"/>
  <c r="E88" i="80"/>
  <c r="H89" i="80"/>
  <c r="E87" i="80"/>
  <c r="H69" i="80"/>
  <c r="T46" i="80"/>
  <c r="E31" i="80"/>
  <c r="E69" i="80"/>
  <c r="H68" i="80"/>
  <c r="H32" i="80"/>
  <c r="H31" i="80"/>
  <c r="E32" i="80"/>
  <c r="X46" i="80"/>
  <c r="AC37" i="80" l="1"/>
  <c r="Q31" i="80" s="1"/>
  <c r="E119" i="80"/>
  <c r="E117" i="80"/>
  <c r="AH37" i="80"/>
  <c r="AI37" i="80" s="1"/>
  <c r="AJ37" i="80" s="1"/>
  <c r="H117" i="80"/>
  <c r="H118" i="80"/>
  <c r="H119" i="80"/>
  <c r="E118" i="80"/>
  <c r="Q70" i="80" l="1"/>
  <c r="Q101" i="80"/>
  <c r="Q119" i="80"/>
  <c r="Q74" i="80"/>
  <c r="Q118" i="80"/>
  <c r="Q76" i="80"/>
  <c r="Q107" i="80"/>
  <c r="Q75" i="80"/>
  <c r="Q105" i="80"/>
  <c r="Q89" i="80"/>
  <c r="Q112" i="80"/>
  <c r="Q32" i="80"/>
  <c r="Q94" i="80"/>
  <c r="Q69" i="80"/>
  <c r="Q81" i="80"/>
  <c r="Q93" i="80"/>
  <c r="Q33" i="80"/>
  <c r="Q95" i="80"/>
  <c r="Q106" i="80"/>
  <c r="Q117" i="80"/>
  <c r="Q82" i="80"/>
  <c r="Q88" i="80"/>
  <c r="Q99" i="80"/>
  <c r="Q113" i="80"/>
  <c r="AD37" i="80"/>
  <c r="T106" i="80" s="1"/>
  <c r="Q68" i="80"/>
  <c r="Q83" i="80"/>
  <c r="Q87" i="80"/>
  <c r="Q100" i="80"/>
  <c r="Q111" i="80"/>
  <c r="T113" i="80" l="1"/>
  <c r="T69" i="80"/>
  <c r="T89" i="80"/>
  <c r="T74" i="80"/>
  <c r="T99" i="80"/>
  <c r="T76" i="80"/>
  <c r="T100" i="80"/>
  <c r="T75" i="80"/>
  <c r="T101" i="80"/>
  <c r="T87" i="80"/>
  <c r="T111" i="80"/>
  <c r="T88" i="80"/>
  <c r="T112" i="80"/>
  <c r="T70" i="80"/>
  <c r="T83" i="80"/>
  <c r="T94" i="80"/>
  <c r="T107" i="80"/>
  <c r="T68" i="80"/>
  <c r="T82" i="80"/>
  <c r="T93" i="80"/>
  <c r="T105" i="80"/>
  <c r="AE37" i="80"/>
  <c r="W111" i="80" s="1"/>
  <c r="T81" i="80"/>
  <c r="T95" i="80"/>
  <c r="W69" i="80" l="1"/>
  <c r="AA69" i="80" s="1"/>
  <c r="AE69" i="80" s="1"/>
  <c r="W93" i="80"/>
  <c r="AA93" i="80" s="1"/>
  <c r="W107" i="80"/>
  <c r="AA107" i="80" s="1"/>
  <c r="W83" i="80"/>
  <c r="AA83" i="80" s="1"/>
  <c r="AE83" i="80" s="1"/>
  <c r="W82" i="80"/>
  <c r="AA82" i="80" s="1"/>
  <c r="AE82" i="80" s="1"/>
  <c r="W106" i="80"/>
  <c r="AA106" i="80" s="1"/>
  <c r="W74" i="80"/>
  <c r="AA74" i="80" s="1"/>
  <c r="AE74" i="80" s="1"/>
  <c r="W105" i="80"/>
  <c r="AA105" i="80" s="1"/>
  <c r="T118" i="80"/>
  <c r="W33" i="80"/>
  <c r="W94" i="80"/>
  <c r="AA94" i="80" s="1"/>
  <c r="W70" i="80"/>
  <c r="AA70" i="80" s="1"/>
  <c r="AE70" i="80" s="1"/>
  <c r="W95" i="80"/>
  <c r="AA95" i="80" s="1"/>
  <c r="T119" i="80"/>
  <c r="W32" i="80"/>
  <c r="W81" i="80"/>
  <c r="AA81" i="80" s="1"/>
  <c r="AE81" i="80" s="1"/>
  <c r="W100" i="80"/>
  <c r="AA100" i="80" s="1"/>
  <c r="W113" i="80"/>
  <c r="AA113" i="80" s="1"/>
  <c r="W31" i="80"/>
  <c r="W88" i="80"/>
  <c r="AA88" i="80" s="1"/>
  <c r="AE88" i="80" s="1"/>
  <c r="W101" i="80"/>
  <c r="AA101" i="80" s="1"/>
  <c r="W76" i="80"/>
  <c r="AA76" i="80" s="1"/>
  <c r="AE76" i="80" s="1"/>
  <c r="W89" i="80"/>
  <c r="AA89" i="80" s="1"/>
  <c r="AE89" i="80" s="1"/>
  <c r="W112" i="80"/>
  <c r="AA112" i="80" s="1"/>
  <c r="T32" i="80"/>
  <c r="T117" i="80"/>
  <c r="AA111" i="80"/>
  <c r="T33" i="80"/>
  <c r="W68" i="80"/>
  <c r="AA68" i="80" s="1"/>
  <c r="AE68" i="80" s="1"/>
  <c r="W75" i="80"/>
  <c r="AA75" i="80" s="1"/>
  <c r="AE75" i="80" s="1"/>
  <c r="W87" i="80"/>
  <c r="AA87" i="80" s="1"/>
  <c r="AE87" i="80" s="1"/>
  <c r="W99" i="80"/>
  <c r="AA99" i="80" s="1"/>
  <c r="T31" i="80"/>
  <c r="AA32" i="80" l="1"/>
  <c r="AE32" i="80" s="1"/>
  <c r="AA33" i="80"/>
  <c r="AE33" i="80" s="1"/>
  <c r="AA31" i="80"/>
  <c r="AE31" i="80" s="1"/>
  <c r="W119" i="80"/>
  <c r="AA119" i="80"/>
  <c r="AE119" i="80" s="1"/>
  <c r="W118" i="80"/>
  <c r="AA117" i="80"/>
  <c r="AE117" i="80" s="1"/>
  <c r="AA118" i="80"/>
  <c r="AE118" i="80" s="1"/>
  <c r="W117" i="80"/>
  <c r="AE34" i="80" l="1"/>
  <c r="AE120" i="80"/>
</calcChain>
</file>

<file path=xl/sharedStrings.xml><?xml version="1.0" encoding="utf-8"?>
<sst xmlns="http://schemas.openxmlformats.org/spreadsheetml/2006/main" count="761" uniqueCount="108">
  <si>
    <t>＝</t>
    <phoneticPr fontId="2"/>
  </si>
  <si>
    <t>医療分</t>
    <rPh sb="0" eb="2">
      <t>イリョウ</t>
    </rPh>
    <rPh sb="2" eb="3">
      <t>ブン</t>
    </rPh>
    <phoneticPr fontId="2"/>
  </si>
  <si>
    <t>支援分</t>
    <rPh sb="0" eb="2">
      <t>シエン</t>
    </rPh>
    <rPh sb="2" eb="3">
      <t>ブン</t>
    </rPh>
    <phoneticPr fontId="2"/>
  </si>
  <si>
    <t>介護分</t>
    <rPh sb="0" eb="2">
      <t>カイゴ</t>
    </rPh>
    <rPh sb="2" eb="3">
      <t>ブン</t>
    </rPh>
    <phoneticPr fontId="2"/>
  </si>
  <si>
    <t>所得割</t>
    <rPh sb="0" eb="2">
      <t>ショトク</t>
    </rPh>
    <rPh sb="2" eb="3">
      <t>ワリ</t>
    </rPh>
    <phoneticPr fontId="2"/>
  </si>
  <si>
    <t>平等割</t>
    <rPh sb="0" eb="2">
      <t>ビョウドウ</t>
    </rPh>
    <rPh sb="2" eb="3">
      <t>ワリ</t>
    </rPh>
    <phoneticPr fontId="2"/>
  </si>
  <si>
    <t>軽減割合</t>
    <rPh sb="0" eb="2">
      <t>ケイゲン</t>
    </rPh>
    <rPh sb="2" eb="4">
      <t>ワリアイ</t>
    </rPh>
    <phoneticPr fontId="2"/>
  </si>
  <si>
    <t>①所得割</t>
    <rPh sb="1" eb="3">
      <t>ショトク</t>
    </rPh>
    <rPh sb="3" eb="4">
      <t>ワリ</t>
    </rPh>
    <phoneticPr fontId="2"/>
  </si>
  <si>
    <t>→</t>
    <phoneticPr fontId="2"/>
  </si>
  <si>
    <t>１．税率</t>
    <rPh sb="2" eb="4">
      <t>ゼイリツ</t>
    </rPh>
    <phoneticPr fontId="2"/>
  </si>
  <si>
    <t>均等割</t>
    <rPh sb="0" eb="3">
      <t>キントウワ</t>
    </rPh>
    <phoneticPr fontId="2"/>
  </si>
  <si>
    <t>加入
月数</t>
    <rPh sb="0" eb="2">
      <t>カニュウ</t>
    </rPh>
    <rPh sb="3" eb="5">
      <t>ツキスウ</t>
    </rPh>
    <phoneticPr fontId="2"/>
  </si>
  <si>
    <t>介護
月数</t>
    <rPh sb="0" eb="2">
      <t>カイゴ</t>
    </rPh>
    <rPh sb="3" eb="5">
      <t>ツキスウ</t>
    </rPh>
    <phoneticPr fontId="2"/>
  </si>
  <si>
    <t>２．税計算</t>
    <rPh sb="2" eb="3">
      <t>ゼイ</t>
    </rPh>
    <rPh sb="3" eb="5">
      <t>ケイサン</t>
    </rPh>
    <phoneticPr fontId="2"/>
  </si>
  <si>
    <t>-</t>
    <phoneticPr fontId="2"/>
  </si>
  <si>
    <t>限度額</t>
    <rPh sb="0" eb="2">
      <t>ゲンド</t>
    </rPh>
    <rPh sb="2" eb="3">
      <t>ガク</t>
    </rPh>
    <phoneticPr fontId="2"/>
  </si>
  <si>
    <t>軽減
判定</t>
    <rPh sb="0" eb="2">
      <t>ケイゲン</t>
    </rPh>
    <rPh sb="3" eb="5">
      <t>ハンテイ</t>
    </rPh>
    <phoneticPr fontId="2"/>
  </si>
  <si>
    <t>軽減所得
合計</t>
    <rPh sb="0" eb="2">
      <t>ケイゲン</t>
    </rPh>
    <rPh sb="2" eb="4">
      <t>ショトク</t>
    </rPh>
    <rPh sb="5" eb="7">
      <t>ゴウケイ</t>
    </rPh>
    <phoneticPr fontId="2"/>
  </si>
  <si>
    <t>擬主</t>
    <rPh sb="0" eb="1">
      <t>ギ</t>
    </rPh>
    <rPh sb="1" eb="2">
      <t>ヌシ</t>
    </rPh>
    <phoneticPr fontId="2"/>
  </si>
  <si>
    <t>未申</t>
    <rPh sb="0" eb="2">
      <t>ヒツジサル</t>
    </rPh>
    <phoneticPr fontId="2"/>
  </si>
  <si>
    <t>所得割
課税標準額</t>
    <rPh sb="0" eb="2">
      <t>ショトク</t>
    </rPh>
    <rPh sb="2" eb="3">
      <t>ワリ</t>
    </rPh>
    <rPh sb="4" eb="6">
      <t>カゼイ</t>
    </rPh>
    <rPh sb="6" eb="8">
      <t>ヒョウジュン</t>
    </rPh>
    <rPh sb="8" eb="9">
      <t>ガク</t>
    </rPh>
    <phoneticPr fontId="2"/>
  </si>
  <si>
    <t>年齢</t>
    <rPh sb="0" eb="2">
      <t>ネンレイ</t>
    </rPh>
    <phoneticPr fontId="2"/>
  </si>
  <si>
    <t>所得合計</t>
    <rPh sb="0" eb="2">
      <t>ショトク</t>
    </rPh>
    <rPh sb="2" eb="4">
      <t>ゴウケイ</t>
    </rPh>
    <phoneticPr fontId="2"/>
  </si>
  <si>
    <t>年税額見込</t>
    <rPh sb="0" eb="1">
      <t>ネン</t>
    </rPh>
    <rPh sb="1" eb="2">
      <t>ゼイ</t>
    </rPh>
    <rPh sb="2" eb="3">
      <t>ガク</t>
    </rPh>
    <rPh sb="3" eb="5">
      <t>ミコ</t>
    </rPh>
    <phoneticPr fontId="2"/>
  </si>
  <si>
    <t>世帯主</t>
    <rPh sb="0" eb="3">
      <t>セタイヌシ</t>
    </rPh>
    <phoneticPr fontId="2"/>
  </si>
  <si>
    <t>【入力方法　左の表に入力をしてください。】</t>
    <rPh sb="1" eb="3">
      <t>ニュウリョク</t>
    </rPh>
    <rPh sb="3" eb="5">
      <t>ホウホウ</t>
    </rPh>
    <rPh sb="6" eb="7">
      <t>ヒダリ</t>
    </rPh>
    <rPh sb="8" eb="9">
      <t>ヒョウ</t>
    </rPh>
    <rPh sb="10" eb="12">
      <t>ニュウリョク</t>
    </rPh>
    <phoneticPr fontId="2"/>
  </si>
  <si>
    <t>※この試算表はあくまで年間の税額のめやすとなるものです。実際の税額とは異なる場合がありますので、</t>
    <rPh sb="3" eb="6">
      <t>シサンヒョウ</t>
    </rPh>
    <rPh sb="11" eb="13">
      <t>ネンカン</t>
    </rPh>
    <rPh sb="14" eb="16">
      <t>ゼイガク</t>
    </rPh>
    <rPh sb="28" eb="30">
      <t>ジッサイ</t>
    </rPh>
    <rPh sb="31" eb="33">
      <t>ゼイガク</t>
    </rPh>
    <rPh sb="35" eb="36">
      <t>コト</t>
    </rPh>
    <rPh sb="38" eb="40">
      <t>バアイ</t>
    </rPh>
    <phoneticPr fontId="2"/>
  </si>
  <si>
    <t>目安としてご利用してください。</t>
    <rPh sb="0" eb="2">
      <t>メヤス</t>
    </rPh>
    <rPh sb="6" eb="8">
      <t>リヨウ</t>
    </rPh>
    <phoneticPr fontId="2"/>
  </si>
  <si>
    <t>②均等割</t>
    <rPh sb="1" eb="3">
      <t>キントウ</t>
    </rPh>
    <rPh sb="3" eb="4">
      <t>ワリ</t>
    </rPh>
    <phoneticPr fontId="2"/>
  </si>
  <si>
    <t>③平等割</t>
    <rPh sb="1" eb="3">
      <t>ビョウドウ</t>
    </rPh>
    <rPh sb="3" eb="4">
      <t>ワリ</t>
    </rPh>
    <phoneticPr fontId="2"/>
  </si>
  <si>
    <t>なお擬主とは、国保に加入していない住民票上の世帯主のことです。</t>
    <rPh sb="17" eb="20">
      <t>ジュウミンヒョウ</t>
    </rPh>
    <rPh sb="20" eb="21">
      <t>ジョウ</t>
    </rPh>
    <phoneticPr fontId="2"/>
  </si>
  <si>
    <t>給与収入</t>
    <rPh sb="0" eb="2">
      <t>キュウヨ</t>
    </rPh>
    <rPh sb="2" eb="4">
      <t>シュウニュウ</t>
    </rPh>
    <phoneticPr fontId="2"/>
  </si>
  <si>
    <t>その他の所得</t>
    <rPh sb="2" eb="3">
      <t>タ</t>
    </rPh>
    <rPh sb="4" eb="6">
      <t>ショトク</t>
    </rPh>
    <phoneticPr fontId="2"/>
  </si>
  <si>
    <t>自動計算</t>
    <rPh sb="0" eb="2">
      <t>ジドウ</t>
    </rPh>
    <rPh sb="2" eb="4">
      <t>ケイサン</t>
    </rPh>
    <phoneticPr fontId="2"/>
  </si>
  <si>
    <t>給与収入…前年中の総支給額を入力してください。</t>
    <rPh sb="0" eb="2">
      <t>キュウヨ</t>
    </rPh>
    <rPh sb="2" eb="4">
      <t>シュウニュウ</t>
    </rPh>
    <rPh sb="7" eb="8">
      <t>チュウ</t>
    </rPh>
    <rPh sb="9" eb="10">
      <t>ソウ</t>
    </rPh>
    <rPh sb="10" eb="13">
      <t>シキュウガク</t>
    </rPh>
    <phoneticPr fontId="2"/>
  </si>
  <si>
    <t>その他の所得…前年中の事業収入等から必要経費額を差し引いた額を入力してください。</t>
    <rPh sb="2" eb="3">
      <t>タ</t>
    </rPh>
    <rPh sb="4" eb="6">
      <t>ショトク</t>
    </rPh>
    <rPh sb="7" eb="10">
      <t>ゼンネンチュウ</t>
    </rPh>
    <rPh sb="31" eb="33">
      <t>ニュウリョク</t>
    </rPh>
    <phoneticPr fontId="2"/>
  </si>
  <si>
    <t>給与</t>
    <rPh sb="0" eb="2">
      <t>キュウヨ</t>
    </rPh>
    <phoneticPr fontId="2"/>
  </si>
  <si>
    <t>～</t>
    <phoneticPr fontId="2"/>
  </si>
  <si>
    <t>収入</t>
    <rPh sb="0" eb="2">
      <t>シュウニュウ</t>
    </rPh>
    <phoneticPr fontId="2"/>
  </si>
  <si>
    <t>所得</t>
    <rPh sb="0" eb="2">
      <t>ショトク</t>
    </rPh>
    <phoneticPr fontId="2"/>
  </si>
  <si>
    <t>公的年金収入</t>
    <rPh sb="0" eb="2">
      <t>コウテキ</t>
    </rPh>
    <rPh sb="2" eb="4">
      <t>ネンキン</t>
    </rPh>
    <rPh sb="4" eb="6">
      <t>シュウニュウ</t>
    </rPh>
    <phoneticPr fontId="2"/>
  </si>
  <si>
    <t>公的年金収入…前年中の総支給額を入力してください。</t>
    <rPh sb="0" eb="2">
      <t>コウテキ</t>
    </rPh>
    <rPh sb="2" eb="4">
      <t>ネンキン</t>
    </rPh>
    <rPh sb="4" eb="6">
      <t>シュウニュウ</t>
    </rPh>
    <rPh sb="9" eb="10">
      <t>チュウ</t>
    </rPh>
    <rPh sb="11" eb="12">
      <t>ソウ</t>
    </rPh>
    <rPh sb="12" eb="15">
      <t>シキュウガク</t>
    </rPh>
    <phoneticPr fontId="2"/>
  </si>
  <si>
    <t>給与所得</t>
    <rPh sb="0" eb="2">
      <t>キュウヨ</t>
    </rPh>
    <rPh sb="2" eb="4">
      <t>ショトク</t>
    </rPh>
    <phoneticPr fontId="2"/>
  </si>
  <si>
    <t>公的年金等収入</t>
    <rPh sb="0" eb="2">
      <t>コウテキ</t>
    </rPh>
    <rPh sb="2" eb="4">
      <t>ネンキン</t>
    </rPh>
    <rPh sb="4" eb="5">
      <t>ナド</t>
    </rPh>
    <rPh sb="5" eb="7">
      <t>シュウニュウ</t>
    </rPh>
    <phoneticPr fontId="2"/>
  </si>
  <si>
    <t>公的年金等所得</t>
    <rPh sb="0" eb="2">
      <t>コウテキ</t>
    </rPh>
    <rPh sb="2" eb="4">
      <t>ネンキン</t>
    </rPh>
    <rPh sb="4" eb="5">
      <t>トウ</t>
    </rPh>
    <rPh sb="5" eb="7">
      <t>ショトク</t>
    </rPh>
    <phoneticPr fontId="2"/>
  </si>
  <si>
    <t>公的年金等雑所得以外の所得にかかる合計所得</t>
    <phoneticPr fontId="2"/>
  </si>
  <si>
    <t>公的年金等（1月1日現在65歳以上）</t>
    <phoneticPr fontId="2"/>
  </si>
  <si>
    <t>公的年金等（1月1日現在65歳未満）</t>
    <phoneticPr fontId="2"/>
  </si>
  <si>
    <t>公的年金等所得</t>
    <rPh sb="0" eb="2">
      <t>コウテキ</t>
    </rPh>
    <rPh sb="2" eb="4">
      <t>ネンキン</t>
    </rPh>
    <rPh sb="4" eb="5">
      <t>ナド</t>
    </rPh>
    <rPh sb="5" eb="7">
      <t>ショトク</t>
    </rPh>
    <phoneticPr fontId="2"/>
  </si>
  <si>
    <t>合計</t>
    <rPh sb="0" eb="2">
      <t>ゴウケイ</t>
    </rPh>
    <phoneticPr fontId="2"/>
  </si>
  <si>
    <t>続柄</t>
    <rPh sb="0" eb="1">
      <t>ツヅ</t>
    </rPh>
    <rPh sb="1" eb="2">
      <t>ガラ</t>
    </rPh>
    <phoneticPr fontId="2"/>
  </si>
  <si>
    <t>給与所得者等が0人か1人</t>
    <rPh sb="0" eb="2">
      <t>キュウヨ</t>
    </rPh>
    <rPh sb="2" eb="4">
      <t>ショトク</t>
    </rPh>
    <rPh sb="4" eb="5">
      <t>シャ</t>
    </rPh>
    <rPh sb="5" eb="6">
      <t>ナド</t>
    </rPh>
    <rPh sb="8" eb="9">
      <t>ニン</t>
    </rPh>
    <rPh sb="11" eb="12">
      <t>ニン</t>
    </rPh>
    <phoneticPr fontId="2"/>
  </si>
  <si>
    <t>7割</t>
    <rPh sb="1" eb="2">
      <t>ワリ</t>
    </rPh>
    <phoneticPr fontId="2"/>
  </si>
  <si>
    <t>軽減区分</t>
    <rPh sb="0" eb="2">
      <t>ケイゲン</t>
    </rPh>
    <rPh sb="2" eb="4">
      <t>クブン</t>
    </rPh>
    <phoneticPr fontId="2"/>
  </si>
  <si>
    <t>5割</t>
    <rPh sb="1" eb="2">
      <t>ワリ</t>
    </rPh>
    <phoneticPr fontId="2"/>
  </si>
  <si>
    <t>2割</t>
    <rPh sb="1" eb="2">
      <t>ワリ</t>
    </rPh>
    <phoneticPr fontId="2"/>
  </si>
  <si>
    <t>基礎控除</t>
    <rPh sb="0" eb="2">
      <t>キソ</t>
    </rPh>
    <rPh sb="2" eb="4">
      <t>コウジョ</t>
    </rPh>
    <phoneticPr fontId="2"/>
  </si>
  <si>
    <t>+</t>
    <phoneticPr fontId="2"/>
  </si>
  <si>
    <t>加算</t>
    <rPh sb="0" eb="2">
      <t>カサン</t>
    </rPh>
    <phoneticPr fontId="2"/>
  </si>
  <si>
    <t>×</t>
    <phoneticPr fontId="2"/>
  </si>
  <si>
    <t>被保険者数</t>
    <rPh sb="0" eb="4">
      <t>ヒホケンシャ</t>
    </rPh>
    <rPh sb="4" eb="5">
      <t>スウ</t>
    </rPh>
    <phoneticPr fontId="2"/>
  </si>
  <si>
    <t>給与所得者等が2人以上</t>
    <rPh sb="0" eb="2">
      <t>キュウヨ</t>
    </rPh>
    <rPh sb="2" eb="4">
      <t>ショトク</t>
    </rPh>
    <rPh sb="4" eb="5">
      <t>シャ</t>
    </rPh>
    <rPh sb="5" eb="6">
      <t>ナド</t>
    </rPh>
    <rPh sb="8" eb="9">
      <t>ニン</t>
    </rPh>
    <rPh sb="9" eb="11">
      <t>イジョウ</t>
    </rPh>
    <phoneticPr fontId="2"/>
  </si>
  <si>
    <t>給与所得者等の数</t>
    <rPh sb="0" eb="2">
      <t>キュウヨ</t>
    </rPh>
    <rPh sb="2" eb="4">
      <t>ショトク</t>
    </rPh>
    <rPh sb="4" eb="5">
      <t>シャ</t>
    </rPh>
    <rPh sb="5" eb="6">
      <t>ナド</t>
    </rPh>
    <rPh sb="7" eb="8">
      <t>カズ</t>
    </rPh>
    <phoneticPr fontId="2"/>
  </si>
  <si>
    <t>（</t>
    <phoneticPr fontId="2"/>
  </si>
  <si>
    <t>）</t>
    <phoneticPr fontId="2"/>
  </si>
  <si>
    <t>＋</t>
    <phoneticPr fontId="2"/>
  </si>
  <si>
    <t>軽減判定所得</t>
    <rPh sb="0" eb="2">
      <t>ケイゲン</t>
    </rPh>
    <rPh sb="2" eb="4">
      <t>ハンテイ</t>
    </rPh>
    <rPh sb="4" eb="6">
      <t>ショトク</t>
    </rPh>
    <phoneticPr fontId="2"/>
  </si>
  <si>
    <t>給与所得者等</t>
    <rPh sb="0" eb="2">
      <t>キュウヨ</t>
    </rPh>
    <rPh sb="2" eb="4">
      <t>ショトク</t>
    </rPh>
    <rPh sb="4" eb="5">
      <t>シャ</t>
    </rPh>
    <rPh sb="5" eb="6">
      <t>ナド</t>
    </rPh>
    <phoneticPr fontId="2"/>
  </si>
  <si>
    <t>課税標準額</t>
    <rPh sb="0" eb="2">
      <t>カゼイ</t>
    </rPh>
    <rPh sb="2" eb="4">
      <t>ヒョウジュン</t>
    </rPh>
    <rPh sb="4" eb="5">
      <t>ガク</t>
    </rPh>
    <phoneticPr fontId="2"/>
  </si>
  <si>
    <t>所得金額</t>
    <rPh sb="0" eb="2">
      <t>ショトク</t>
    </rPh>
    <rPh sb="2" eb="4">
      <t>キンガク</t>
    </rPh>
    <phoneticPr fontId="2"/>
  </si>
  <si>
    <t>100,000円のみ減額</t>
    <rPh sb="7" eb="8">
      <t>エン</t>
    </rPh>
    <rPh sb="10" eb="12">
      <t>ゲンガク</t>
    </rPh>
    <phoneticPr fontId="2"/>
  </si>
  <si>
    <t>②’
均等軽減</t>
    <rPh sb="3" eb="5">
      <t>キントウ</t>
    </rPh>
    <rPh sb="5" eb="7">
      <t>ケイゲン</t>
    </rPh>
    <phoneticPr fontId="2"/>
  </si>
  <si>
    <t>③”
平等軽減</t>
    <rPh sb="3" eb="5">
      <t>ビョウドウ</t>
    </rPh>
    <rPh sb="5" eb="7">
      <t>ケイゲン</t>
    </rPh>
    <phoneticPr fontId="2"/>
  </si>
  <si>
    <t>④賦課額</t>
    <rPh sb="1" eb="4">
      <t>フカガク</t>
    </rPh>
    <phoneticPr fontId="2"/>
  </si>
  <si>
    <t>⑤課税額</t>
    <rPh sb="1" eb="4">
      <t>カゼイガク</t>
    </rPh>
    <phoneticPr fontId="2"/>
  </si>
  <si>
    <t>２人目</t>
    <rPh sb="1" eb="2">
      <t>ニン</t>
    </rPh>
    <rPh sb="2" eb="3">
      <t>メ</t>
    </rPh>
    <phoneticPr fontId="2"/>
  </si>
  <si>
    <t>３人目</t>
    <rPh sb="1" eb="2">
      <t>ニン</t>
    </rPh>
    <rPh sb="2" eb="3">
      <t>メ</t>
    </rPh>
    <phoneticPr fontId="2"/>
  </si>
  <si>
    <t>４人目</t>
    <rPh sb="1" eb="2">
      <t>ニン</t>
    </rPh>
    <rPh sb="2" eb="3">
      <t>メ</t>
    </rPh>
    <phoneticPr fontId="2"/>
  </si>
  <si>
    <t>５人目</t>
    <rPh sb="1" eb="2">
      <t>ニン</t>
    </rPh>
    <rPh sb="2" eb="3">
      <t>メ</t>
    </rPh>
    <phoneticPr fontId="2"/>
  </si>
  <si>
    <t>６人目</t>
    <rPh sb="1" eb="2">
      <t>ニン</t>
    </rPh>
    <rPh sb="2" eb="3">
      <t>メ</t>
    </rPh>
    <phoneticPr fontId="2"/>
  </si>
  <si>
    <t>７人目</t>
    <rPh sb="1" eb="2">
      <t>ニン</t>
    </rPh>
    <rPh sb="2" eb="3">
      <t>メ</t>
    </rPh>
    <phoneticPr fontId="2"/>
  </si>
  <si>
    <t>８人目</t>
    <rPh sb="1" eb="2">
      <t>ニン</t>
    </rPh>
    <rPh sb="2" eb="3">
      <t>メ</t>
    </rPh>
    <phoneticPr fontId="2"/>
  </si>
  <si>
    <t>年金軽減判定所得</t>
    <rPh sb="0" eb="2">
      <t>ネンキン</t>
    </rPh>
    <rPh sb="2" eb="4">
      <t>ケイゲン</t>
    </rPh>
    <rPh sb="4" eb="6">
      <t>ハンテイ</t>
    </rPh>
    <rPh sb="6" eb="8">
      <t>ショトク</t>
    </rPh>
    <phoneticPr fontId="2"/>
  </si>
  <si>
    <t>公的年金等に係る雑所得以外の所得にかかる所得</t>
    <rPh sb="6" eb="7">
      <t>カカ</t>
    </rPh>
    <phoneticPr fontId="2"/>
  </si>
  <si>
    <t>雑所得のうち、公的年金等に係る雑所得以外の合計所得金額</t>
    <rPh sb="0" eb="1">
      <t>ザツ</t>
    </rPh>
    <rPh sb="1" eb="3">
      <t>ショトク</t>
    </rPh>
    <rPh sb="7" eb="9">
      <t>コウテキ</t>
    </rPh>
    <rPh sb="9" eb="11">
      <t>ネンキン</t>
    </rPh>
    <rPh sb="11" eb="12">
      <t>ナド</t>
    </rPh>
    <rPh sb="13" eb="14">
      <t>カカ</t>
    </rPh>
    <rPh sb="15" eb="18">
      <t>ザツショトク</t>
    </rPh>
    <rPh sb="18" eb="20">
      <t>イガイ</t>
    </rPh>
    <rPh sb="21" eb="23">
      <t>ゴウケイ</t>
    </rPh>
    <rPh sb="23" eb="25">
      <t>ショトク</t>
    </rPh>
    <rPh sb="25" eb="27">
      <t>キンガク</t>
    </rPh>
    <phoneticPr fontId="2"/>
  </si>
  <si>
    <t>１人目</t>
    <rPh sb="1" eb="2">
      <t>ニン</t>
    </rPh>
    <rPh sb="2" eb="3">
      <t>メ</t>
    </rPh>
    <phoneticPr fontId="2"/>
  </si>
  <si>
    <t>給与所得と公的年金等所得の合計が10万円以上がある場合は、</t>
    <rPh sb="0" eb="2">
      <t>キュウヨ</t>
    </rPh>
    <rPh sb="2" eb="4">
      <t>ショトク</t>
    </rPh>
    <rPh sb="5" eb="7">
      <t>コウテキ</t>
    </rPh>
    <rPh sb="7" eb="9">
      <t>ネンキン</t>
    </rPh>
    <rPh sb="9" eb="10">
      <t>ナド</t>
    </rPh>
    <rPh sb="10" eb="12">
      <t>ショトク</t>
    </rPh>
    <rPh sb="13" eb="15">
      <t>ゴウケイ</t>
    </rPh>
    <rPh sb="18" eb="20">
      <t>マンエン</t>
    </rPh>
    <rPh sb="20" eb="22">
      <t>イジョウ</t>
    </rPh>
    <rPh sb="25" eb="27">
      <t>バアイ</t>
    </rPh>
    <phoneticPr fontId="2"/>
  </si>
  <si>
    <t>給与所得と公的年金等所得が両方あり、</t>
    <rPh sb="0" eb="2">
      <t>キュウヨ</t>
    </rPh>
    <rPh sb="2" eb="4">
      <t>ショトク</t>
    </rPh>
    <rPh sb="5" eb="7">
      <t>コウテキ</t>
    </rPh>
    <rPh sb="7" eb="9">
      <t>ネンキン</t>
    </rPh>
    <rPh sb="9" eb="10">
      <t>ナド</t>
    </rPh>
    <rPh sb="10" eb="12">
      <t>ショトク</t>
    </rPh>
    <rPh sb="13" eb="15">
      <t>リョウホウ</t>
    </rPh>
    <phoneticPr fontId="2"/>
  </si>
  <si>
    <r>
      <t>固定資産税額・・・</t>
    </r>
    <r>
      <rPr>
        <b/>
        <sz val="11"/>
        <rFont val="ＭＳ Ｐゴシック"/>
        <family val="3"/>
        <charset val="128"/>
      </rPr>
      <t>H30年度より資産割廃止。</t>
    </r>
    <rPh sb="0" eb="2">
      <t>コテイ</t>
    </rPh>
    <rPh sb="2" eb="4">
      <t>シサン</t>
    </rPh>
    <rPh sb="4" eb="6">
      <t>ゼイガク</t>
    </rPh>
    <rPh sb="12" eb="14">
      <t>ネンド</t>
    </rPh>
    <rPh sb="16" eb="18">
      <t>シサン</t>
    </rPh>
    <rPh sb="18" eb="19">
      <t>ワリ</t>
    </rPh>
    <rPh sb="19" eb="21">
      <t>ハイシ</t>
    </rPh>
    <phoneticPr fontId="2"/>
  </si>
  <si>
    <t>世帯員</t>
    <rPh sb="0" eb="3">
      <t>セタイイン</t>
    </rPh>
    <phoneticPr fontId="2"/>
  </si>
  <si>
    <t>１人目</t>
    <rPh sb="1" eb="3">
      <t>ニンメ</t>
    </rPh>
    <phoneticPr fontId="2"/>
  </si>
  <si>
    <t>未就学児</t>
    <rPh sb="0" eb="4">
      <t>ミシュウガクジ</t>
    </rPh>
    <phoneticPr fontId="2"/>
  </si>
  <si>
    <t>2人目</t>
    <rPh sb="1" eb="3">
      <t>ニンメ</t>
    </rPh>
    <phoneticPr fontId="2"/>
  </si>
  <si>
    <t>3人目</t>
    <rPh sb="1" eb="3">
      <t>ニンメ</t>
    </rPh>
    <phoneticPr fontId="2"/>
  </si>
  <si>
    <t>4人目</t>
    <rPh sb="1" eb="3">
      <t>ニンメ</t>
    </rPh>
    <phoneticPr fontId="2"/>
  </si>
  <si>
    <t>5人目</t>
    <rPh sb="1" eb="3">
      <t>ニンメ</t>
    </rPh>
    <phoneticPr fontId="2"/>
  </si>
  <si>
    <t>6人目</t>
    <rPh sb="1" eb="3">
      <t>ニンメ</t>
    </rPh>
    <phoneticPr fontId="2"/>
  </si>
  <si>
    <t>7人目</t>
    <rPh sb="1" eb="3">
      <t>ニンメ</t>
    </rPh>
    <phoneticPr fontId="2"/>
  </si>
  <si>
    <t>8人目</t>
    <rPh sb="1" eb="3">
      <t>ニンメ</t>
    </rPh>
    <phoneticPr fontId="2"/>
  </si>
  <si>
    <t>年齢・・・指定日時点の年齢を入力してください。（2ヶ所）</t>
    <rPh sb="0" eb="2">
      <t>ネンレイ</t>
    </rPh>
    <rPh sb="5" eb="8">
      <t>シテイビ</t>
    </rPh>
    <rPh sb="8" eb="10">
      <t>ジテン</t>
    </rPh>
    <rPh sb="11" eb="13">
      <t>ネンレイ</t>
    </rPh>
    <rPh sb="14" eb="16">
      <t>ニュウリョク</t>
    </rPh>
    <rPh sb="26" eb="27">
      <t>ショ</t>
    </rPh>
    <phoneticPr fontId="2"/>
  </si>
  <si>
    <t>国保資格・・・プルダウン（▼）で選んでください。世帯主の所得は必ず入力してください。</t>
    <rPh sb="0" eb="2">
      <t>コクホ</t>
    </rPh>
    <rPh sb="2" eb="4">
      <t>シカク</t>
    </rPh>
    <rPh sb="16" eb="17">
      <t>エラ</t>
    </rPh>
    <rPh sb="24" eb="27">
      <t>セタイヌシ</t>
    </rPh>
    <rPh sb="28" eb="30">
      <t>ショトク</t>
    </rPh>
    <rPh sb="31" eb="32">
      <t>カナラ</t>
    </rPh>
    <rPh sb="33" eb="35">
      <t>ニュウリョク</t>
    </rPh>
    <phoneticPr fontId="2"/>
  </si>
  <si>
    <t>国保資格</t>
    <rPh sb="0" eb="2">
      <t>コクホ</t>
    </rPh>
    <rPh sb="2" eb="4">
      <t>シカク</t>
    </rPh>
    <phoneticPr fontId="2"/>
  </si>
  <si>
    <t>住民票上同一世帯の方で、国保に加入される世帯主以外の方は世帯員を選択してください。</t>
    <rPh sb="0" eb="3">
      <t>ジュウミンヒョウ</t>
    </rPh>
    <rPh sb="3" eb="4">
      <t>ジョウ</t>
    </rPh>
    <rPh sb="4" eb="6">
      <t>ドウイツ</t>
    </rPh>
    <rPh sb="6" eb="8">
      <t>セタイ</t>
    </rPh>
    <rPh sb="9" eb="10">
      <t>カタ</t>
    </rPh>
    <rPh sb="12" eb="14">
      <t>コクホ</t>
    </rPh>
    <rPh sb="15" eb="17">
      <t>カニュウ</t>
    </rPh>
    <rPh sb="20" eb="23">
      <t>セタイヌシ</t>
    </rPh>
    <rPh sb="23" eb="25">
      <t>イガイ</t>
    </rPh>
    <rPh sb="26" eb="27">
      <t>カタ</t>
    </rPh>
    <rPh sb="28" eb="30">
      <t>セタイ</t>
    </rPh>
    <rPh sb="30" eb="31">
      <t>イン</t>
    </rPh>
    <rPh sb="32" eb="34">
      <t>センタク</t>
    </rPh>
    <phoneticPr fontId="2"/>
  </si>
  <si>
    <t>令和7年度　飯塚市国民健康保険税試算表</t>
    <rPh sb="0" eb="2">
      <t>レイワ</t>
    </rPh>
    <rPh sb="3" eb="5">
      <t>ネンド</t>
    </rPh>
    <rPh sb="6" eb="9">
      <t>イイヅカシ</t>
    </rPh>
    <rPh sb="9" eb="11">
      <t>コクミン</t>
    </rPh>
    <rPh sb="11" eb="13">
      <t>ケンコウ</t>
    </rPh>
    <rPh sb="13" eb="15">
      <t>ホケン</t>
    </rPh>
    <rPh sb="15" eb="16">
      <t>ゼイ</t>
    </rPh>
    <rPh sb="16" eb="19">
      <t>シサンヒョウ</t>
    </rPh>
    <phoneticPr fontId="2"/>
  </si>
  <si>
    <t>令和7年1月1日現在</t>
    <rPh sb="0" eb="2">
      <t>レイワ</t>
    </rPh>
    <rPh sb="3" eb="4">
      <t>ネン</t>
    </rPh>
    <rPh sb="5" eb="6">
      <t>ガツ</t>
    </rPh>
    <rPh sb="7" eb="8">
      <t>ニチ</t>
    </rPh>
    <rPh sb="8" eb="10">
      <t>ゲンザイ</t>
    </rPh>
    <phoneticPr fontId="2"/>
  </si>
  <si>
    <t>令和7年4月1日現在</t>
    <rPh sb="0" eb="2">
      <t>レイワ</t>
    </rPh>
    <rPh sb="3" eb="4">
      <t>ネン</t>
    </rPh>
    <rPh sb="5" eb="6">
      <t>ガツ</t>
    </rPh>
    <rPh sb="6" eb="8">
      <t>ツイタチ</t>
    </rPh>
    <rPh sb="8" eb="10">
      <t>ゲンザイ</t>
    </rPh>
    <phoneticPr fontId="2"/>
  </si>
  <si>
    <t>令和6年中の総支給額です</t>
    <rPh sb="0" eb="2">
      <t>レイワ</t>
    </rPh>
    <rPh sb="3" eb="4">
      <t>ネン</t>
    </rPh>
    <rPh sb="4" eb="5">
      <t>チュウ</t>
    </rPh>
    <rPh sb="6" eb="7">
      <t>ソウ</t>
    </rPh>
    <rPh sb="7" eb="10">
      <t>シキュウガク</t>
    </rPh>
    <phoneticPr fontId="2"/>
  </si>
  <si>
    <t>令和6年中の収入から諸経費を控除した所得金額です</t>
    <rPh sb="0" eb="2">
      <t>レイワ</t>
    </rPh>
    <rPh sb="3" eb="4">
      <t>ネン</t>
    </rPh>
    <rPh sb="4" eb="5">
      <t>チュウ</t>
    </rPh>
    <rPh sb="6" eb="8">
      <t>シュウニュウ</t>
    </rPh>
    <rPh sb="10" eb="13">
      <t>ショケイヒ</t>
    </rPh>
    <rPh sb="14" eb="16">
      <t>コウジョ</t>
    </rPh>
    <rPh sb="18" eb="20">
      <t>ショトク</t>
    </rPh>
    <rPh sb="20" eb="2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</si>
</sst>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1"/>
      <color indexed="12"/>
      <name val="ＭＳ Ｐゴシック"/>
      <family val="3"/>
      <charset val="128"/>
    </font>
    <font>
      <sz val="10"/>
      <color indexed="12"/>
      <name val="ＭＳ Ｐゴシック"/>
      <family val="3"/>
      <charset val="128"/>
    </font>
    <font>
      <sz val="9"/>
      <color indexed="12"/>
      <name val="ＭＳ Ｐゴシック"/>
      <family val="3"/>
      <charset val="128"/>
    </font>
    <font>
      <b/>
      <sz val="11"/>
      <name val="ＭＳ Ｐゴシック"/>
      <family val="3"/>
      <charset val="128"/>
    </font>
    <font>
      <sz val="11"/>
      <color indexed="9"/>
      <name val="ＭＳ Ｐゴシック"/>
      <family val="3"/>
      <charset val="128"/>
    </font>
    <font>
      <b/>
      <sz val="12"/>
      <color indexed="12"/>
      <name val="ＭＳ Ｐゴシック"/>
      <family val="3"/>
      <charset val="128"/>
    </font>
    <font>
      <b/>
      <sz val="18"/>
      <name val="HG丸ｺﾞｼｯｸM-PRO"/>
      <family val="3"/>
      <charset val="128"/>
    </font>
    <font>
      <b/>
      <sz val="11"/>
      <color rgb="FFFF000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8" tint="0.79998168889431442"/>
        <bgColor indexed="64"/>
      </patternFill>
    </fill>
  </fills>
  <borders count="45">
    <border>
      <left/>
      <right/>
      <top/>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18">
    <xf numFmtId="0" fontId="0" fillId="0" borderId="0" xfId="0"/>
    <xf numFmtId="0" fontId="5" fillId="0" borderId="0" xfId="0" applyFont="1" applyBorder="1" applyAlignment="1" applyProtection="1">
      <alignment vertical="center"/>
    </xf>
    <xf numFmtId="0" fontId="0" fillId="0" borderId="0" xfId="0" applyProtection="1"/>
    <xf numFmtId="0" fontId="3" fillId="0" borderId="0" xfId="0" applyFont="1" applyBorder="1" applyAlignment="1" applyProtection="1">
      <alignment horizontal="left" vertical="center"/>
    </xf>
    <xf numFmtId="0" fontId="4" fillId="0" borderId="0" xfId="0" applyFont="1" applyProtection="1"/>
    <xf numFmtId="0" fontId="0" fillId="0" borderId="0" xfId="0" applyAlignment="1" applyProtection="1">
      <alignment vertical="top"/>
    </xf>
    <xf numFmtId="0" fontId="0" fillId="0" borderId="0" xfId="0" applyBorder="1" applyAlignment="1" applyProtection="1">
      <alignment horizontal="distributed" vertical="center"/>
    </xf>
    <xf numFmtId="0" fontId="4" fillId="0" borderId="0" xfId="0" applyFont="1" applyBorder="1" applyAlignment="1" applyProtection="1">
      <alignment horizontal="left" vertical="center"/>
    </xf>
    <xf numFmtId="0" fontId="11" fillId="0" borderId="0" xfId="0" applyFont="1" applyProtection="1"/>
    <xf numFmtId="0" fontId="4" fillId="0" borderId="0" xfId="0" applyFont="1" applyBorder="1" applyAlignment="1" applyProtection="1">
      <alignment horizontal="left"/>
    </xf>
    <xf numFmtId="0" fontId="4" fillId="0" borderId="1" xfId="0" applyFont="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Protection="1"/>
    <xf numFmtId="0" fontId="14" fillId="0" borderId="0" xfId="0" applyFont="1"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14" fillId="0" borderId="6" xfId="0" applyFont="1" applyBorder="1" applyProtection="1"/>
    <xf numFmtId="0" fontId="0" fillId="0" borderId="7" xfId="0" applyBorder="1" applyProtection="1"/>
    <xf numFmtId="0" fontId="14" fillId="0" borderId="8" xfId="0" applyFont="1" applyBorder="1" applyProtection="1"/>
    <xf numFmtId="0" fontId="0" fillId="0" borderId="8" xfId="0" applyBorder="1" applyProtection="1"/>
    <xf numFmtId="0" fontId="14" fillId="0" borderId="9" xfId="0" applyFont="1" applyBorder="1" applyProtection="1"/>
    <xf numFmtId="0" fontId="0" fillId="0" borderId="3" xfId="0" applyBorder="1" applyAlignment="1" applyProtection="1">
      <alignment vertical="center"/>
    </xf>
    <xf numFmtId="0" fontId="4" fillId="0" borderId="10" xfId="0" applyFont="1" applyBorder="1" applyAlignment="1" applyProtection="1">
      <alignment horizontal="left" vertical="center"/>
    </xf>
    <xf numFmtId="0" fontId="11" fillId="0" borderId="6" xfId="0" applyFont="1" applyBorder="1" applyProtection="1"/>
    <xf numFmtId="0" fontId="15" fillId="4" borderId="0" xfId="0" applyFont="1" applyFill="1" applyBorder="1" applyAlignment="1" applyProtection="1">
      <alignment horizontal="center" vertical="center"/>
    </xf>
    <xf numFmtId="0" fontId="0" fillId="3" borderId="11" xfId="0" applyFill="1" applyBorder="1" applyAlignment="1" applyProtection="1">
      <alignment vertical="center"/>
    </xf>
    <xf numFmtId="0" fontId="0" fillId="0" borderId="12" xfId="0" applyFill="1" applyBorder="1" applyAlignment="1" applyProtection="1">
      <alignment vertical="center"/>
    </xf>
    <xf numFmtId="0" fontId="12" fillId="0" borderId="0" xfId="0" applyFont="1" applyFill="1" applyBorder="1" applyAlignment="1" applyProtection="1">
      <alignment vertical="center"/>
    </xf>
    <xf numFmtId="0" fontId="4" fillId="0" borderId="1" xfId="0" applyFont="1" applyBorder="1" applyAlignment="1" applyProtection="1">
      <alignment horizontal="center" vertical="center"/>
    </xf>
    <xf numFmtId="0" fontId="4" fillId="0" borderId="1" xfId="0" applyFont="1" applyBorder="1" applyProtection="1"/>
    <xf numFmtId="176" fontId="4" fillId="0" borderId="1" xfId="0" applyNumberFormat="1" applyFont="1" applyBorder="1" applyAlignment="1" applyProtection="1">
      <alignment horizontal="center" vertical="center"/>
    </xf>
    <xf numFmtId="0" fontId="4" fillId="0" borderId="0" xfId="0" applyFont="1" applyBorder="1" applyProtection="1"/>
    <xf numFmtId="176" fontId="4" fillId="0" borderId="0" xfId="0" applyNumberFormat="1" applyFont="1" applyBorder="1" applyAlignment="1" applyProtection="1">
      <alignment horizontal="center" vertical="center"/>
    </xf>
    <xf numFmtId="176" fontId="0" fillId="0" borderId="0" xfId="0" applyNumberFormat="1" applyBorder="1" applyAlignment="1" applyProtection="1">
      <alignment horizontal="center" vertical="center"/>
    </xf>
    <xf numFmtId="0" fontId="0" fillId="0" borderId="0" xfId="0" applyAlignment="1" applyProtection="1">
      <alignment horizontal="center"/>
    </xf>
    <xf numFmtId="0" fontId="0" fillId="0" borderId="0" xfId="0" applyAlignment="1" applyProtection="1">
      <alignment vertical="center"/>
    </xf>
    <xf numFmtId="38" fontId="0" fillId="0" borderId="0" xfId="1" applyFont="1" applyAlignment="1" applyProtection="1">
      <alignment vertical="center"/>
    </xf>
    <xf numFmtId="0" fontId="0" fillId="0" borderId="0" xfId="0" applyAlignment="1" applyProtection="1">
      <alignment horizontal="right" vertical="center"/>
    </xf>
    <xf numFmtId="0" fontId="0" fillId="0" borderId="18" xfId="0" applyBorder="1" applyProtection="1"/>
    <xf numFmtId="0" fontId="0" fillId="0" borderId="0" xfId="0" applyFill="1" applyAlignment="1" applyProtection="1">
      <alignment horizontal="center" vertical="center"/>
    </xf>
    <xf numFmtId="0" fontId="14" fillId="0" borderId="0" xfId="0" applyFont="1" applyAlignment="1" applyProtection="1">
      <alignment vertical="center"/>
    </xf>
    <xf numFmtId="38" fontId="10" fillId="0" borderId="0" xfId="0" applyNumberFormat="1" applyFont="1" applyAlignment="1" applyProtection="1">
      <alignment vertical="center"/>
    </xf>
    <xf numFmtId="0" fontId="10" fillId="0" borderId="0" xfId="0" applyFont="1" applyAlignment="1" applyProtection="1">
      <alignment vertical="center"/>
    </xf>
    <xf numFmtId="0" fontId="10" fillId="0" borderId="17" xfId="0" applyFont="1" applyBorder="1" applyAlignment="1" applyProtection="1">
      <alignment vertical="center"/>
    </xf>
    <xf numFmtId="0" fontId="0" fillId="0" borderId="1" xfId="0" applyBorder="1" applyAlignment="1"/>
    <xf numFmtId="0" fontId="0" fillId="0" borderId="23" xfId="0" applyBorder="1" applyAlignment="1" applyProtection="1">
      <alignment horizontal="center" vertical="center"/>
    </xf>
    <xf numFmtId="38" fontId="0" fillId="0" borderId="0" xfId="1" applyFont="1" applyBorder="1" applyAlignment="1" applyProtection="1">
      <alignment horizontal="center"/>
    </xf>
    <xf numFmtId="38" fontId="0" fillId="0" borderId="0" xfId="1" applyFont="1" applyBorder="1" applyAlignment="1">
      <alignment horizontal="center"/>
    </xf>
    <xf numFmtId="0" fontId="0" fillId="0" borderId="15" xfId="0" applyBorder="1" applyAlignment="1"/>
    <xf numFmtId="0" fontId="0" fillId="0" borderId="0" xfId="0" applyFill="1" applyProtection="1"/>
    <xf numFmtId="0" fontId="15" fillId="0" borderId="0" xfId="0" applyFont="1" applyFill="1" applyProtection="1"/>
    <xf numFmtId="0" fontId="15" fillId="0" borderId="0" xfId="0" applyFont="1" applyFill="1" applyBorder="1" applyAlignment="1" applyProtection="1">
      <alignment horizontal="center" vertical="center"/>
    </xf>
    <xf numFmtId="178" fontId="15" fillId="0" borderId="0" xfId="0" applyNumberFormat="1" applyFont="1" applyFill="1" applyProtection="1"/>
    <xf numFmtId="0" fontId="11" fillId="0" borderId="0" xfId="0" applyFont="1" applyFill="1" applyProtection="1"/>
    <xf numFmtId="176" fontId="15" fillId="0" borderId="0" xfId="0" applyNumberFormat="1" applyFont="1" applyFill="1" applyProtection="1"/>
    <xf numFmtId="0" fontId="0" fillId="0" borderId="0" xfId="0" applyAlignment="1" applyProtection="1">
      <alignment horizontal="left" vertical="center"/>
    </xf>
    <xf numFmtId="0" fontId="0" fillId="0" borderId="0" xfId="0" applyAlignment="1" applyProtection="1"/>
    <xf numFmtId="3" fontId="0" fillId="0" borderId="0" xfId="0" applyNumberFormat="1" applyAlignment="1" applyProtection="1">
      <alignment vertical="center"/>
    </xf>
    <xf numFmtId="0" fontId="0" fillId="0" borderId="18"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0" xfId="0" applyFont="1" applyBorder="1" applyAlignment="1" applyProtection="1">
      <alignment vertical="center"/>
    </xf>
    <xf numFmtId="177" fontId="11" fillId="0" borderId="0" xfId="0" applyNumberFormat="1" applyFont="1" applyBorder="1" applyAlignment="1" applyProtection="1">
      <alignment vertical="center"/>
    </xf>
    <xf numFmtId="0" fontId="0" fillId="5" borderId="0" xfId="0" applyFill="1"/>
    <xf numFmtId="0" fontId="0" fillId="0" borderId="0" xfId="0" applyFill="1" applyAlignment="1" applyProtection="1">
      <alignment horizontal="right" vertical="center"/>
    </xf>
    <xf numFmtId="0" fontId="0" fillId="0" borderId="0" xfId="0" applyFill="1" applyBorder="1" applyAlignment="1" applyProtection="1">
      <alignment horizontal="right" vertical="center"/>
    </xf>
    <xf numFmtId="0" fontId="0" fillId="0" borderId="0" xfId="0" applyBorder="1" applyAlignment="1" applyProtection="1"/>
    <xf numFmtId="0" fontId="0" fillId="0" borderId="0" xfId="0" applyBorder="1" applyAlignment="1">
      <alignment horizontal="center"/>
    </xf>
    <xf numFmtId="0" fontId="0" fillId="0" borderId="0" xfId="0" applyFill="1"/>
    <xf numFmtId="0" fontId="13" fillId="0" borderId="0" xfId="0" applyFont="1" applyBorder="1" applyAlignment="1" applyProtection="1">
      <alignment vertical="center"/>
    </xf>
    <xf numFmtId="0" fontId="6" fillId="0" borderId="16" xfId="0" applyFont="1" applyBorder="1" applyAlignment="1" applyProtection="1">
      <alignment vertical="center" wrapText="1"/>
    </xf>
    <xf numFmtId="0" fontId="6" fillId="5" borderId="18" xfId="0" applyFont="1" applyFill="1" applyBorder="1" applyAlignment="1" applyProtection="1">
      <alignment vertical="center"/>
      <protection locked="0"/>
    </xf>
    <xf numFmtId="0" fontId="6" fillId="5" borderId="39" xfId="0" applyFont="1" applyFill="1" applyBorder="1" applyAlignment="1" applyProtection="1">
      <alignment vertical="center"/>
      <protection locked="0"/>
    </xf>
    <xf numFmtId="0" fontId="6" fillId="0" borderId="18" xfId="0" applyFont="1" applyBorder="1" applyAlignment="1" applyProtection="1">
      <alignment vertical="center" wrapText="1"/>
    </xf>
    <xf numFmtId="177" fontId="7" fillId="0" borderId="0" xfId="0" applyNumberFormat="1"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38" fontId="0" fillId="0" borderId="18" xfId="1" applyFont="1" applyBorder="1" applyAlignment="1" applyProtection="1">
      <alignment horizontal="center" vertical="center"/>
    </xf>
    <xf numFmtId="0" fontId="0" fillId="4" borderId="0" xfId="0" applyFill="1" applyProtection="1"/>
    <xf numFmtId="0" fontId="0" fillId="4" borderId="0" xfId="0" applyFill="1" applyAlignment="1" applyProtection="1">
      <alignment horizontal="center" vertical="center"/>
    </xf>
    <xf numFmtId="0" fontId="0" fillId="4" borderId="0" xfId="0" applyFill="1"/>
    <xf numFmtId="0" fontId="0" fillId="4" borderId="0" xfId="0" applyFill="1" applyBorder="1" applyAlignment="1" applyProtection="1">
      <alignment horizontal="center" vertical="center"/>
    </xf>
    <xf numFmtId="177" fontId="7" fillId="4" borderId="0" xfId="0" applyNumberFormat="1" applyFont="1" applyFill="1" applyBorder="1" applyAlignment="1" applyProtection="1">
      <alignment horizontal="center" vertical="center"/>
    </xf>
    <xf numFmtId="38" fontId="0" fillId="0" borderId="18" xfId="1" applyFont="1" applyBorder="1" applyAlignment="1" applyProtection="1">
      <alignment horizontal="center" vertical="center"/>
    </xf>
    <xf numFmtId="38" fontId="0" fillId="0" borderId="18" xfId="1" applyFont="1" applyBorder="1" applyAlignment="1" applyProtection="1">
      <alignment horizontal="center"/>
    </xf>
    <xf numFmtId="38" fontId="0" fillId="0" borderId="18" xfId="1" applyFont="1" applyBorder="1" applyAlignment="1" applyProtection="1">
      <alignment horizontal="center" vertical="center"/>
    </xf>
    <xf numFmtId="38" fontId="0" fillId="0" borderId="18" xfId="1" applyFont="1" applyBorder="1" applyAlignment="1" applyProtection="1">
      <alignment horizont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4" fillId="0" borderId="15" xfId="0" applyFont="1" applyBorder="1" applyAlignment="1" applyProtection="1">
      <alignment horizontal="center" vertical="center"/>
    </xf>
    <xf numFmtId="0" fontId="4" fillId="0" borderId="17" xfId="0" applyFont="1" applyBorder="1" applyProtection="1"/>
    <xf numFmtId="0" fontId="4" fillId="0" borderId="16" xfId="0" applyFont="1" applyBorder="1" applyProtection="1"/>
    <xf numFmtId="176" fontId="4" fillId="0" borderId="15" xfId="0" applyNumberFormat="1" applyFont="1" applyBorder="1" applyAlignment="1" applyProtection="1">
      <alignment horizontal="center" vertical="center"/>
    </xf>
    <xf numFmtId="176" fontId="0" fillId="0" borderId="18" xfId="0" applyNumberFormat="1" applyFill="1" applyBorder="1" applyAlignment="1" applyProtection="1">
      <alignment horizontal="center" vertical="center"/>
    </xf>
    <xf numFmtId="0" fontId="13" fillId="0" borderId="0" xfId="0" applyFont="1" applyBorder="1" applyAlignment="1" applyProtection="1">
      <alignment horizontal="center" vertical="center"/>
    </xf>
    <xf numFmtId="0" fontId="0" fillId="0" borderId="18" xfId="0" applyBorder="1" applyAlignment="1" applyProtection="1">
      <alignment horizontal="center" vertical="center"/>
    </xf>
    <xf numFmtId="176" fontId="0" fillId="0" borderId="18" xfId="0" applyNumberFormat="1" applyBorder="1" applyAlignment="1" applyProtection="1">
      <alignment horizontal="center" vertical="center"/>
    </xf>
    <xf numFmtId="38" fontId="10" fillId="0" borderId="18" xfId="1" applyFont="1" applyFill="1" applyBorder="1" applyAlignment="1" applyProtection="1">
      <alignment horizontal="center" vertical="center"/>
    </xf>
    <xf numFmtId="38" fontId="0" fillId="5" borderId="15" xfId="1" applyFont="1" applyFill="1" applyBorder="1" applyAlignment="1" applyProtection="1">
      <alignment horizontal="center" vertical="center"/>
    </xf>
    <xf numFmtId="38" fontId="0" fillId="5" borderId="17" xfId="1" applyFont="1" applyFill="1" applyBorder="1" applyAlignment="1" applyProtection="1">
      <alignment horizontal="center" vertical="center"/>
    </xf>
    <xf numFmtId="38" fontId="0" fillId="5" borderId="16" xfId="1" applyFont="1" applyFill="1" applyBorder="1" applyAlignment="1" applyProtection="1">
      <alignment horizontal="center" vertical="center"/>
    </xf>
    <xf numFmtId="38" fontId="0" fillId="5" borderId="18" xfId="1" applyFont="1" applyFill="1" applyBorder="1" applyAlignment="1" applyProtection="1">
      <alignment horizontal="center" vertical="center"/>
    </xf>
    <xf numFmtId="177" fontId="6" fillId="5" borderId="18" xfId="0" applyNumberFormat="1" applyFont="1" applyFill="1" applyBorder="1" applyAlignment="1" applyProtection="1">
      <alignment horizontal="right" vertical="center"/>
      <protection locked="0"/>
    </xf>
    <xf numFmtId="0" fontId="0" fillId="5" borderId="18" xfId="0" applyFill="1" applyBorder="1" applyProtection="1">
      <protection locked="0"/>
    </xf>
    <xf numFmtId="0" fontId="0" fillId="5" borderId="38" xfId="0" applyFill="1" applyBorder="1" applyProtection="1">
      <protection locked="0"/>
    </xf>
    <xf numFmtId="0" fontId="0" fillId="0" borderId="18" xfId="0" applyBorder="1" applyAlignment="1">
      <alignment horizontal="center"/>
    </xf>
    <xf numFmtId="0" fontId="6" fillId="5" borderId="17" xfId="0" applyFont="1" applyFill="1" applyBorder="1" applyAlignment="1" applyProtection="1">
      <alignment horizontal="center" vertical="center"/>
      <protection locked="0"/>
    </xf>
    <xf numFmtId="0" fontId="0" fillId="5" borderId="16" xfId="0" applyFill="1" applyBorder="1" applyProtection="1">
      <protection locked="0"/>
    </xf>
    <xf numFmtId="177" fontId="6" fillId="0" borderId="15" xfId="0" applyNumberFormat="1" applyFont="1" applyFill="1" applyBorder="1" applyAlignment="1" applyProtection="1">
      <alignment horizontal="right" vertical="center"/>
    </xf>
    <xf numFmtId="0" fontId="0" fillId="0" borderId="17" xfId="0" applyFill="1" applyBorder="1" applyProtection="1"/>
    <xf numFmtId="0" fontId="0" fillId="0" borderId="25" xfId="0" applyFill="1" applyBorder="1" applyProtection="1"/>
    <xf numFmtId="38" fontId="0" fillId="5" borderId="18" xfId="1" applyFont="1" applyFill="1" applyBorder="1" applyAlignment="1">
      <alignment horizontal="center"/>
    </xf>
    <xf numFmtId="38" fontId="0" fillId="0" borderId="18" xfId="0" applyNumberFormat="1" applyBorder="1" applyAlignment="1">
      <alignment horizontal="center"/>
    </xf>
    <xf numFmtId="0" fontId="6" fillId="0" borderId="18"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36" xfId="0" applyFont="1" applyBorder="1" applyAlignment="1" applyProtection="1">
      <alignment horizontal="center" vertical="center" wrapText="1"/>
    </xf>
    <xf numFmtId="0" fontId="0" fillId="0" borderId="36" xfId="0" applyBorder="1" applyProtection="1"/>
    <xf numFmtId="0" fontId="0" fillId="0" borderId="37" xfId="0" applyBorder="1" applyProtection="1"/>
    <xf numFmtId="0" fontId="6" fillId="0" borderId="27" xfId="0" applyFont="1" applyBorder="1" applyAlignment="1" applyProtection="1">
      <alignment horizontal="center" vertical="center" wrapText="1"/>
    </xf>
    <xf numFmtId="0" fontId="0" fillId="0" borderId="28" xfId="0" applyBorder="1" applyProtection="1"/>
    <xf numFmtId="0" fontId="0" fillId="0" borderId="29" xfId="0" applyBorder="1" applyProtection="1"/>
    <xf numFmtId="38" fontId="0" fillId="0" borderId="18" xfId="1" applyFont="1" applyBorder="1" applyAlignment="1">
      <alignment horizontal="center"/>
    </xf>
    <xf numFmtId="0" fontId="6" fillId="5" borderId="10" xfId="0" applyFont="1" applyFill="1" applyBorder="1" applyAlignment="1" applyProtection="1">
      <alignment horizontal="center" vertical="center"/>
      <protection locked="0"/>
    </xf>
    <xf numFmtId="0" fontId="0" fillId="5" borderId="20" xfId="0" applyFill="1" applyBorder="1" applyProtection="1">
      <protection locked="0"/>
    </xf>
    <xf numFmtId="177" fontId="6" fillId="5" borderId="39" xfId="0" applyNumberFormat="1" applyFont="1" applyFill="1" applyBorder="1" applyAlignment="1" applyProtection="1">
      <alignment horizontal="right" vertical="center"/>
      <protection locked="0"/>
    </xf>
    <xf numFmtId="0" fontId="0" fillId="5" borderId="39" xfId="0" applyFill="1" applyBorder="1" applyProtection="1">
      <protection locked="0"/>
    </xf>
    <xf numFmtId="0" fontId="0" fillId="5" borderId="40" xfId="0" applyFill="1" applyBorder="1" applyProtection="1">
      <protection locked="0"/>
    </xf>
    <xf numFmtId="177" fontId="6" fillId="0" borderId="19" xfId="0" applyNumberFormat="1" applyFont="1" applyFill="1" applyBorder="1" applyAlignment="1" applyProtection="1">
      <alignment horizontal="right" vertical="center"/>
    </xf>
    <xf numFmtId="0" fontId="0" fillId="0" borderId="10" xfId="0" applyFill="1" applyBorder="1" applyProtection="1"/>
    <xf numFmtId="0" fontId="0" fillId="0" borderId="30" xfId="0" applyFill="1" applyBorder="1" applyProtection="1"/>
    <xf numFmtId="0" fontId="0" fillId="0" borderId="0" xfId="0" applyBorder="1" applyAlignment="1" applyProtection="1">
      <alignment horizontal="center" vertical="center"/>
    </xf>
    <xf numFmtId="177" fontId="7"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0" fillId="0" borderId="0" xfId="0" applyFont="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7" fillId="0" borderId="17" xfId="0" applyFont="1" applyFill="1" applyBorder="1" applyProtection="1"/>
    <xf numFmtId="0" fontId="7" fillId="0" borderId="16" xfId="0" applyFont="1" applyFill="1" applyBorder="1" applyProtection="1"/>
    <xf numFmtId="0" fontId="7" fillId="0" borderId="15"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0" fillId="0" borderId="18" xfId="0" applyFill="1" applyBorder="1" applyAlignment="1" applyProtection="1">
      <alignment horizontal="center" vertical="center"/>
    </xf>
    <xf numFmtId="0" fontId="0" fillId="3" borderId="32" xfId="0" applyFill="1" applyBorder="1" applyAlignment="1" applyProtection="1">
      <alignment horizontal="center" vertical="center"/>
    </xf>
    <xf numFmtId="0" fontId="0" fillId="3" borderId="11" xfId="0" applyFill="1" applyBorder="1" applyAlignment="1" applyProtection="1">
      <alignment horizontal="center" vertical="center"/>
    </xf>
    <xf numFmtId="177" fontId="12" fillId="3" borderId="11" xfId="0" applyNumberFormat="1"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31" xfId="0" applyFont="1" applyFill="1" applyBorder="1" applyAlignment="1" applyProtection="1">
      <alignment horizontal="center" vertical="center"/>
    </xf>
    <xf numFmtId="0" fontId="4" fillId="0" borderId="18" xfId="0" applyFont="1" applyBorder="1" applyAlignment="1" applyProtection="1">
      <alignment horizontal="center" vertical="center" textRotation="255"/>
    </xf>
    <xf numFmtId="0" fontId="0" fillId="0" borderId="18" xfId="0" applyBorder="1" applyAlignment="1" applyProtection="1">
      <alignment horizontal="center" vertical="center" textRotation="255"/>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0" fillId="2" borderId="18" xfId="0" applyFill="1" applyBorder="1" applyAlignment="1" applyProtection="1">
      <alignment horizontal="center" vertical="center"/>
    </xf>
    <xf numFmtId="177" fontId="6" fillId="0" borderId="15" xfId="0" applyNumberFormat="1" applyFont="1" applyFill="1" applyBorder="1" applyAlignment="1" applyProtection="1">
      <alignment horizontal="center" vertical="center"/>
    </xf>
    <xf numFmtId="177" fontId="6" fillId="0" borderId="16" xfId="0" applyNumberFormat="1"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177" fontId="8" fillId="0" borderId="15" xfId="0" applyNumberFormat="1" applyFont="1" applyFill="1" applyBorder="1" applyAlignment="1" applyProtection="1">
      <alignment horizontal="right" vertical="center"/>
    </xf>
    <xf numFmtId="177" fontId="8" fillId="0" borderId="17" xfId="0" applyNumberFormat="1" applyFont="1" applyFill="1" applyBorder="1" applyAlignment="1" applyProtection="1">
      <alignment horizontal="right" vertical="center"/>
    </xf>
    <xf numFmtId="177" fontId="8" fillId="0" borderId="16" xfId="0" applyNumberFormat="1" applyFont="1" applyFill="1" applyBorder="1" applyAlignment="1" applyProtection="1">
      <alignment horizontal="right" vertical="center"/>
    </xf>
    <xf numFmtId="38" fontId="0" fillId="0" borderId="15" xfId="0" applyNumberFormat="1" applyFill="1" applyBorder="1" applyAlignment="1" applyProtection="1">
      <alignment horizontal="center"/>
    </xf>
    <xf numFmtId="0" fontId="0" fillId="0" borderId="17" xfId="0" applyFill="1" applyBorder="1" applyAlignment="1" applyProtection="1">
      <alignment horizontal="center"/>
    </xf>
    <xf numFmtId="0" fontId="0" fillId="0" borderId="16" xfId="0" applyFill="1" applyBorder="1" applyAlignment="1" applyProtection="1">
      <alignment horizontal="center"/>
    </xf>
    <xf numFmtId="38" fontId="6" fillId="0" borderId="15" xfId="0" applyNumberFormat="1"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38" fontId="8" fillId="0" borderId="21" xfId="1" applyFont="1" applyFill="1" applyBorder="1" applyAlignment="1" applyProtection="1">
      <alignment horizontal="right" vertical="center"/>
    </xf>
    <xf numFmtId="0" fontId="7" fillId="0" borderId="1" xfId="0" applyFont="1" applyFill="1" applyBorder="1" applyProtection="1"/>
    <xf numFmtId="0" fontId="7" fillId="0" borderId="22" xfId="0" applyFont="1" applyFill="1" applyBorder="1" applyProtection="1"/>
    <xf numFmtId="0" fontId="7" fillId="0" borderId="23" xfId="0" applyFont="1" applyFill="1" applyBorder="1" applyProtection="1"/>
    <xf numFmtId="0" fontId="7" fillId="0" borderId="0" xfId="0" applyFont="1" applyFill="1" applyProtection="1"/>
    <xf numFmtId="0" fontId="7" fillId="0" borderId="24" xfId="0" applyFont="1" applyFill="1" applyBorder="1" applyProtection="1"/>
    <xf numFmtId="0" fontId="7" fillId="0" borderId="13" xfId="0" applyFont="1" applyFill="1" applyBorder="1" applyProtection="1"/>
    <xf numFmtId="0" fontId="7" fillId="0" borderId="26" xfId="0" applyFont="1" applyFill="1" applyBorder="1" applyProtection="1"/>
    <xf numFmtId="0" fontId="7" fillId="0" borderId="14" xfId="0" applyFont="1" applyFill="1" applyBorder="1" applyProtection="1"/>
    <xf numFmtId="0" fontId="0" fillId="0" borderId="1" xfId="0" applyFill="1" applyBorder="1" applyAlignment="1" applyProtection="1">
      <alignment horizontal="center" vertical="center"/>
    </xf>
    <xf numFmtId="0" fontId="0" fillId="0" borderId="1" xfId="0" applyFill="1" applyBorder="1" applyAlignment="1" applyProtection="1">
      <alignment horizontal="center"/>
    </xf>
    <xf numFmtId="177" fontId="0" fillId="0" borderId="1" xfId="0" applyNumberFormat="1" applyFill="1" applyBorder="1" applyAlignment="1" applyProtection="1">
      <alignment horizontal="center"/>
    </xf>
    <xf numFmtId="177" fontId="0" fillId="0" borderId="1" xfId="0" applyNumberFormat="1" applyFill="1" applyBorder="1" applyAlignment="1" applyProtection="1">
      <alignment horizontal="right"/>
    </xf>
    <xf numFmtId="0" fontId="0" fillId="0" borderId="1" xfId="0" applyFill="1" applyBorder="1" applyAlignment="1" applyProtection="1">
      <alignment horizontal="right"/>
    </xf>
    <xf numFmtId="38" fontId="0" fillId="0" borderId="1" xfId="0" applyNumberFormat="1" applyFill="1" applyBorder="1" applyAlignment="1" applyProtection="1">
      <alignment horizontal="center"/>
    </xf>
    <xf numFmtId="0" fontId="0" fillId="4" borderId="18" xfId="0" applyFill="1" applyBorder="1" applyAlignment="1" applyProtection="1">
      <alignment horizontal="center"/>
    </xf>
    <xf numFmtId="0" fontId="0" fillId="0" borderId="0" xfId="0" applyAlignment="1" applyProtection="1">
      <alignment horizontal="center" vertical="center"/>
    </xf>
    <xf numFmtId="38" fontId="0" fillId="0" borderId="0" xfId="1" applyFont="1" applyAlignment="1" applyProtection="1">
      <alignment horizontal="center" vertical="center"/>
    </xf>
    <xf numFmtId="3" fontId="0" fillId="0" borderId="0" xfId="0" applyNumberFormat="1" applyAlignment="1" applyProtection="1">
      <alignment horizontal="center" vertical="center"/>
    </xf>
    <xf numFmtId="38" fontId="0" fillId="0" borderId="0" xfId="1" applyFont="1" applyAlignment="1" applyProtection="1">
      <alignment horizontal="center"/>
    </xf>
    <xf numFmtId="0" fontId="0" fillId="4" borderId="0" xfId="0" applyFill="1" applyBorder="1" applyAlignment="1" applyProtection="1">
      <alignment horizontal="center" vertical="center"/>
    </xf>
    <xf numFmtId="177" fontId="7" fillId="4" borderId="0" xfId="0" applyNumberFormat="1" applyFont="1" applyFill="1" applyBorder="1" applyAlignment="1" applyProtection="1">
      <alignment horizontal="center" vertical="center"/>
    </xf>
    <xf numFmtId="0" fontId="6" fillId="4" borderId="0"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xf>
    <xf numFmtId="0" fontId="0" fillId="4" borderId="0" xfId="0" applyFont="1" applyFill="1" applyBorder="1" applyAlignment="1" applyProtection="1">
      <alignment horizontal="center" vertical="center" wrapText="1"/>
    </xf>
    <xf numFmtId="177" fontId="0" fillId="4" borderId="0" xfId="0" applyNumberFormat="1" applyFill="1" applyAlignment="1" applyProtection="1">
      <alignment horizontal="center"/>
    </xf>
  </cellXfs>
  <cellStyles count="2">
    <cellStyle name="桁区切り" xfId="1" builtinId="6"/>
    <cellStyle name="標準" xfId="0" builtinId="0"/>
  </cellStyles>
  <dxfs count="15">
    <dxf>
      <font>
        <condense val="0"/>
        <extend val="0"/>
        <color auto="1"/>
      </font>
      <fill>
        <patternFill>
          <bgColor indexed="41"/>
        </patternFill>
      </fill>
    </dxf>
    <dxf>
      <font>
        <condense val="0"/>
        <extend val="0"/>
        <color auto="1"/>
      </font>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41"/>
        </patternFill>
      </fill>
    </dxf>
    <dxf>
      <fill>
        <patternFill>
          <bgColor indexed="41"/>
        </patternFill>
      </fill>
    </dxf>
    <dxf>
      <font>
        <condense val="0"/>
        <extend val="0"/>
        <color auto="1"/>
      </font>
      <fill>
        <patternFill>
          <bgColor indexed="41"/>
        </patternFill>
      </fill>
    </dxf>
    <dxf>
      <font>
        <condense val="0"/>
        <extend val="0"/>
        <color auto="1"/>
      </font>
    </dxf>
    <dxf>
      <font>
        <condense val="0"/>
        <extend val="0"/>
        <color auto="1"/>
      </font>
    </dxf>
    <dxf>
      <fill>
        <patternFill>
          <bgColor rgb="FFFF0000"/>
        </patternFill>
      </fill>
    </dxf>
    <dxf>
      <fill>
        <patternFill>
          <bgColor rgb="FFFF0000"/>
        </patternFill>
      </fill>
    </dxf>
    <dxf>
      <font>
        <condense val="0"/>
        <extend val="0"/>
        <color auto="1"/>
      </font>
      <fill>
        <patternFill>
          <bgColor indexed="41"/>
        </patternFill>
      </fill>
    </dxf>
    <dxf>
      <font>
        <condense val="0"/>
        <extend val="0"/>
        <color auto="1"/>
      </font>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257178</xdr:colOff>
      <xdr:row>17</xdr:row>
      <xdr:rowOff>100012</xdr:rowOff>
    </xdr:from>
    <xdr:to>
      <xdr:col>13</xdr:col>
      <xdr:colOff>73823</xdr:colOff>
      <xdr:row>17</xdr:row>
      <xdr:rowOff>461959</xdr:rowOff>
    </xdr:to>
    <xdr:sp macro="" textlink="">
      <xdr:nvSpPr>
        <xdr:cNvPr id="2" name="左矢印 1"/>
        <xdr:cNvSpPr>
          <a:spLocks noChangeArrowheads="1"/>
        </xdr:cNvSpPr>
      </xdr:nvSpPr>
      <xdr:spPr bwMode="auto">
        <a:xfrm rot="16200000">
          <a:off x="3218264" y="2768201"/>
          <a:ext cx="361947" cy="1883570"/>
        </a:xfrm>
        <a:prstGeom prst="leftArrow">
          <a:avLst>
            <a:gd name="adj1" fmla="val 50000"/>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25"/>
  <sheetViews>
    <sheetView tabSelected="1" view="pageBreakPreview" zoomScale="80" zoomScaleNormal="80" zoomScaleSheetLayoutView="80" workbookViewId="0">
      <selection activeCell="B21" sqref="B21:C21"/>
    </sheetView>
  </sheetViews>
  <sheetFormatPr defaultColWidth="3.625" defaultRowHeight="13.5" x14ac:dyDescent="0.15"/>
  <cols>
    <col min="1" max="1" width="3.375" style="2" customWidth="1"/>
    <col min="2" max="2" width="4.375" style="2" customWidth="1"/>
    <col min="3" max="3" width="4.125" style="2" customWidth="1"/>
    <col min="4" max="5" width="7.25" style="2" customWidth="1"/>
    <col min="6" max="19" width="3.875" style="2" customWidth="1"/>
    <col min="20" max="30" width="3.375" style="2" customWidth="1"/>
    <col min="31" max="33" width="3.875" style="2" customWidth="1"/>
    <col min="34" max="35" width="3.375" style="2" customWidth="1"/>
    <col min="36" max="36" width="4.875" style="2" customWidth="1"/>
    <col min="37" max="38" width="3.375" style="2" hidden="1" customWidth="1"/>
    <col min="39" max="39" width="4.625" style="2" hidden="1" customWidth="1"/>
    <col min="40" max="40" width="4" style="2" hidden="1" customWidth="1"/>
    <col min="41" max="41" width="3.375" style="2" hidden="1" customWidth="1"/>
    <col min="42" max="44" width="3.625" style="2" hidden="1" customWidth="1"/>
    <col min="45" max="45" width="3.125" hidden="1" customWidth="1"/>
    <col min="46" max="48" width="3.75" hidden="1" customWidth="1"/>
    <col min="49" max="49" width="4.5" hidden="1" customWidth="1"/>
    <col min="50" max="55" width="3.75" hidden="1" customWidth="1"/>
    <col min="56" max="56" width="4" hidden="1" customWidth="1"/>
    <col min="57" max="57" width="3.125" hidden="1" customWidth="1"/>
    <col min="58" max="60" width="3.75" hidden="1" customWidth="1"/>
    <col min="61" max="61" width="4.5" hidden="1" customWidth="1"/>
    <col min="62" max="68" width="3.75" hidden="1" customWidth="1"/>
    <col min="69" max="69" width="3.125" hidden="1" customWidth="1"/>
    <col min="70" max="72" width="3.75" hidden="1" customWidth="1"/>
    <col min="73" max="73" width="4.5" hidden="1" customWidth="1"/>
    <col min="74" max="79" width="3.75" hidden="1" customWidth="1"/>
    <col min="80" max="80" width="3.625" style="2" hidden="1" customWidth="1"/>
    <col min="81" max="81" width="3.625" style="2" customWidth="1"/>
    <col min="82" max="16384" width="3.625" style="2"/>
  </cols>
  <sheetData>
    <row r="1" spans="1:79" ht="45" customHeight="1" x14ac:dyDescent="0.15">
      <c r="A1" s="101" t="s">
        <v>103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71"/>
      <c r="AL1" s="71"/>
      <c r="AM1" s="71"/>
      <c r="AN1" s="71"/>
      <c r="AO1" s="71"/>
      <c r="AP1" s="71"/>
      <c r="AQ1" s="71"/>
      <c r="AR1" s="1"/>
    </row>
    <row r="2" spans="1:79" ht="15" customHeight="1" x14ac:dyDescent="0.15">
      <c r="B2" s="3" t="s">
        <v>9</v>
      </c>
      <c r="C2" s="4"/>
      <c r="D2" s="4"/>
      <c r="E2" s="96" t="s">
        <v>4</v>
      </c>
      <c r="F2" s="97"/>
      <c r="G2" s="97"/>
      <c r="H2" s="98"/>
      <c r="I2" s="96" t="s">
        <v>10</v>
      </c>
      <c r="J2" s="97"/>
      <c r="K2" s="97"/>
      <c r="L2" s="98"/>
      <c r="M2" s="96" t="s">
        <v>5</v>
      </c>
      <c r="N2" s="97"/>
      <c r="O2" s="97"/>
      <c r="P2" s="98"/>
      <c r="Q2" s="102" t="s">
        <v>15</v>
      </c>
      <c r="R2" s="102"/>
      <c r="S2" s="102"/>
      <c r="AH2" s="3"/>
      <c r="AI2" s="5"/>
      <c r="AJ2" s="5"/>
      <c r="AK2" s="5"/>
      <c r="AL2" s="5"/>
      <c r="AS2" s="93" t="s">
        <v>36</v>
      </c>
      <c r="AT2" s="94"/>
      <c r="AU2" s="94"/>
      <c r="AV2" s="94"/>
      <c r="AW2" s="94"/>
      <c r="AX2" s="94"/>
      <c r="AY2" s="94"/>
      <c r="AZ2" s="94"/>
      <c r="BA2" s="94"/>
      <c r="BB2" s="94"/>
      <c r="BC2" s="95"/>
      <c r="BE2" s="51"/>
      <c r="BF2" s="93" t="s">
        <v>47</v>
      </c>
      <c r="BG2" s="94"/>
      <c r="BH2" s="94"/>
      <c r="BI2" s="94"/>
      <c r="BJ2" s="94"/>
      <c r="BK2" s="94"/>
      <c r="BL2" s="94"/>
      <c r="BM2" s="94"/>
      <c r="BN2" s="94"/>
      <c r="BO2" s="95"/>
      <c r="BP2" s="69"/>
      <c r="BQ2" s="51"/>
      <c r="BR2" s="93" t="s">
        <v>46</v>
      </c>
      <c r="BS2" s="94"/>
      <c r="BT2" s="94"/>
      <c r="BU2" s="94"/>
      <c r="BV2" s="94"/>
      <c r="BW2" s="94"/>
      <c r="BX2" s="94"/>
      <c r="BY2" s="94"/>
      <c r="BZ2" s="94"/>
      <c r="CA2" s="95"/>
    </row>
    <row r="3" spans="1:79" ht="15" customHeight="1" x14ac:dyDescent="0.15">
      <c r="B3" s="96" t="s">
        <v>1</v>
      </c>
      <c r="C3" s="97"/>
      <c r="D3" s="98"/>
      <c r="E3" s="96">
        <v>6.8</v>
      </c>
      <c r="F3" s="97"/>
      <c r="G3" s="97"/>
      <c r="H3" s="98"/>
      <c r="I3" s="99">
        <v>21000</v>
      </c>
      <c r="J3" s="97"/>
      <c r="K3" s="97"/>
      <c r="L3" s="98"/>
      <c r="M3" s="99">
        <v>23000</v>
      </c>
      <c r="N3" s="97"/>
      <c r="O3" s="97"/>
      <c r="P3" s="98"/>
      <c r="Q3" s="100">
        <v>660000</v>
      </c>
      <c r="R3" s="100"/>
      <c r="S3" s="100"/>
      <c r="AH3" s="7"/>
      <c r="AI3" s="5"/>
      <c r="AJ3" s="5"/>
      <c r="AK3" s="5"/>
      <c r="AL3" s="5"/>
      <c r="AS3" s="91"/>
      <c r="AT3" s="89" t="s">
        <v>38</v>
      </c>
      <c r="AU3" s="89"/>
      <c r="AV3" s="89"/>
      <c r="AW3" s="89"/>
      <c r="AX3" s="89"/>
      <c r="AY3" s="89"/>
      <c r="AZ3" s="89"/>
      <c r="BA3" s="89" t="s">
        <v>39</v>
      </c>
      <c r="BB3" s="89"/>
      <c r="BC3" s="89"/>
      <c r="BE3" s="91"/>
      <c r="BF3" s="89" t="s">
        <v>38</v>
      </c>
      <c r="BG3" s="89"/>
      <c r="BH3" s="89"/>
      <c r="BI3" s="89"/>
      <c r="BJ3" s="89"/>
      <c r="BK3" s="89"/>
      <c r="BL3" s="89"/>
      <c r="BM3" s="89" t="s">
        <v>39</v>
      </c>
      <c r="BN3" s="89"/>
      <c r="BO3" s="89"/>
      <c r="BP3" s="48"/>
      <c r="BQ3" s="91"/>
      <c r="BR3" s="89" t="s">
        <v>38</v>
      </c>
      <c r="BS3" s="89"/>
      <c r="BT3" s="89"/>
      <c r="BU3" s="89"/>
      <c r="BV3" s="89"/>
      <c r="BW3" s="89"/>
      <c r="BX3" s="89"/>
      <c r="BY3" s="89" t="s">
        <v>39</v>
      </c>
      <c r="BZ3" s="89"/>
      <c r="CA3" s="89"/>
    </row>
    <row r="4" spans="1:79" ht="15" customHeight="1" x14ac:dyDescent="0.15">
      <c r="B4" s="96" t="s">
        <v>2</v>
      </c>
      <c r="C4" s="97"/>
      <c r="D4" s="98"/>
      <c r="E4" s="96">
        <v>2.8</v>
      </c>
      <c r="F4" s="97"/>
      <c r="G4" s="97"/>
      <c r="H4" s="98"/>
      <c r="I4" s="99">
        <v>8100</v>
      </c>
      <c r="J4" s="97"/>
      <c r="K4" s="97"/>
      <c r="L4" s="98"/>
      <c r="M4" s="99">
        <v>8800</v>
      </c>
      <c r="N4" s="97"/>
      <c r="O4" s="97"/>
      <c r="P4" s="98"/>
      <c r="Q4" s="103">
        <v>260000</v>
      </c>
      <c r="R4" s="103"/>
      <c r="S4" s="103"/>
      <c r="AH4" s="7"/>
      <c r="AI4" s="5"/>
      <c r="AJ4" s="5"/>
      <c r="AK4" s="5"/>
      <c r="AL4" s="5"/>
      <c r="AS4" s="92"/>
      <c r="AT4" s="90"/>
      <c r="AU4" s="90"/>
      <c r="AV4" s="90"/>
      <c r="AW4" s="90"/>
      <c r="AX4" s="90"/>
      <c r="AY4" s="90"/>
      <c r="AZ4" s="90"/>
      <c r="BA4" s="90"/>
      <c r="BB4" s="90"/>
      <c r="BC4" s="90"/>
      <c r="BE4" s="92"/>
      <c r="BF4" s="90"/>
      <c r="BG4" s="90"/>
      <c r="BH4" s="90"/>
      <c r="BI4" s="90"/>
      <c r="BJ4" s="90"/>
      <c r="BK4" s="90"/>
      <c r="BL4" s="90"/>
      <c r="BM4" s="90"/>
      <c r="BN4" s="90"/>
      <c r="BO4" s="90"/>
      <c r="BP4" s="77"/>
      <c r="BQ4" s="92"/>
      <c r="BR4" s="90"/>
      <c r="BS4" s="90"/>
      <c r="BT4" s="90"/>
      <c r="BU4" s="90"/>
      <c r="BV4" s="90"/>
      <c r="BW4" s="90"/>
      <c r="BX4" s="90"/>
      <c r="BY4" s="90"/>
      <c r="BZ4" s="90"/>
      <c r="CA4" s="90"/>
    </row>
    <row r="5" spans="1:79" ht="15" customHeight="1" x14ac:dyDescent="0.15">
      <c r="B5" s="96" t="s">
        <v>3</v>
      </c>
      <c r="C5" s="97"/>
      <c r="D5" s="98"/>
      <c r="E5" s="96">
        <v>2.6</v>
      </c>
      <c r="F5" s="97"/>
      <c r="G5" s="97"/>
      <c r="H5" s="98"/>
      <c r="I5" s="99">
        <v>9100</v>
      </c>
      <c r="J5" s="97"/>
      <c r="K5" s="97"/>
      <c r="L5" s="98"/>
      <c r="M5" s="99">
        <v>6700</v>
      </c>
      <c r="N5" s="97"/>
      <c r="O5" s="97"/>
      <c r="P5" s="98"/>
      <c r="Q5" s="103">
        <v>170000</v>
      </c>
      <c r="R5" s="103"/>
      <c r="S5" s="103"/>
      <c r="AE5" s="5"/>
      <c r="AF5" s="5"/>
      <c r="AG5" s="5"/>
      <c r="AH5" s="5"/>
      <c r="AI5" s="5"/>
      <c r="AJ5" s="5"/>
      <c r="AK5" s="5"/>
      <c r="AL5" s="5"/>
      <c r="AS5" s="41">
        <f>IF(AND($AX$18&gt;=AT5,$AX$18&lt;=AX5),1,0)</f>
        <v>1</v>
      </c>
      <c r="AT5" s="87">
        <v>0</v>
      </c>
      <c r="AU5" s="87"/>
      <c r="AV5" s="87"/>
      <c r="AW5" s="79" t="s">
        <v>37</v>
      </c>
      <c r="AX5" s="87">
        <v>550999</v>
      </c>
      <c r="AY5" s="87"/>
      <c r="AZ5" s="87"/>
      <c r="BA5" s="88">
        <f>IF(AS5=1,0,0)</f>
        <v>0</v>
      </c>
      <c r="BB5" s="88"/>
      <c r="BC5" s="88"/>
      <c r="BE5" s="41">
        <f>IF(AND($BJ$18&gt;=BF5,$BJ$18&lt;=BJ5,$BL$22&lt;=10000000),1,(IF(AND($BJ$18&gt;=BF5,$BJ$18&lt;=BJ5,$BL$22&gt;10000000,$BL$22&lt;=20000000),2,(IF(AND($BJ$18&gt;=BF5,$BJ$18&lt;=BJ5,$BL$22&gt;20000000),3,0)))))</f>
        <v>1</v>
      </c>
      <c r="BF5" s="87">
        <v>0</v>
      </c>
      <c r="BG5" s="87"/>
      <c r="BH5" s="87"/>
      <c r="BI5" s="79" t="s">
        <v>37</v>
      </c>
      <c r="BJ5" s="87">
        <v>1299999</v>
      </c>
      <c r="BK5" s="87"/>
      <c r="BL5" s="87"/>
      <c r="BM5" s="88">
        <f>MAX(IF(BE5=1,BJ18-600000,IF(BE5=2,BJ18-500000,IF(BE5=3,BJ18-400000,0))),)</f>
        <v>0</v>
      </c>
      <c r="BN5" s="88"/>
      <c r="BO5" s="88"/>
      <c r="BP5" s="49"/>
      <c r="BQ5" s="41">
        <f>IF(AND($BV$18&gt;=BR5,$BV$18&lt;=BV5,$BX$22&lt;=10000000),1,(IF(AND($BV$18&gt;=BR5,$BV$18&lt;=BV5,$BX$22&gt;10000000,$BX$22&lt;=20000000),2,(IF(AND($BV$18&gt;=BR5,$BV$18&lt;=BV5,$BX$22&gt;20000000),3,0)))))</f>
        <v>1</v>
      </c>
      <c r="BR5" s="87">
        <v>0</v>
      </c>
      <c r="BS5" s="87"/>
      <c r="BT5" s="87"/>
      <c r="BU5" s="79" t="s">
        <v>37</v>
      </c>
      <c r="BV5" s="87">
        <v>3299999</v>
      </c>
      <c r="BW5" s="87"/>
      <c r="BX5" s="87"/>
      <c r="BY5" s="88">
        <f>MAX(IF(BQ5=1,BV18-1100000,IF(BQ5=2,BV18-1000000,IF(BQ5=3,BV18-900000,0))),)</f>
        <v>0</v>
      </c>
      <c r="BZ5" s="88"/>
      <c r="CA5" s="88"/>
    </row>
    <row r="6" spans="1:79" ht="15" customHeight="1" thickBot="1" x14ac:dyDescent="0.2">
      <c r="B6" s="31"/>
      <c r="C6" s="32"/>
      <c r="D6" s="32"/>
      <c r="E6" s="31"/>
      <c r="F6" s="32"/>
      <c r="G6" s="32"/>
      <c r="H6" s="32"/>
      <c r="I6" s="33"/>
      <c r="J6" s="32"/>
      <c r="K6" s="32"/>
      <c r="L6" s="34"/>
      <c r="M6" s="35"/>
      <c r="N6" s="34"/>
      <c r="O6" s="34"/>
      <c r="P6" s="34"/>
      <c r="Q6" s="36"/>
      <c r="R6" s="36"/>
      <c r="S6" s="36"/>
      <c r="AE6" s="5"/>
      <c r="AF6" s="5"/>
      <c r="AG6" s="5"/>
      <c r="AH6" s="5"/>
      <c r="AI6" s="5"/>
      <c r="AJ6" s="5"/>
      <c r="AK6" s="5"/>
      <c r="AL6" s="5"/>
      <c r="AS6" s="41">
        <f>IF(AND($AX$18&gt;=AT6,$AX$18&lt;=AX6),1,0)</f>
        <v>0</v>
      </c>
      <c r="AT6" s="87">
        <v>551000</v>
      </c>
      <c r="AU6" s="87"/>
      <c r="AV6" s="87"/>
      <c r="AW6" s="79" t="s">
        <v>37</v>
      </c>
      <c r="AX6" s="87">
        <v>1618999</v>
      </c>
      <c r="AY6" s="87"/>
      <c r="AZ6" s="87"/>
      <c r="BA6" s="88">
        <f>IF(AS6=1,AX18-550000,0)</f>
        <v>0</v>
      </c>
      <c r="BB6" s="88"/>
      <c r="BC6" s="88"/>
      <c r="BE6" s="41">
        <f>IF(AND($BJ$18&gt;=BF6,$BJ$18&lt;=BJ6,$BL$22&lt;=10000000),1,(IF(AND($BJ$18&gt;=BF6,$BJ$18&lt;=BJ6,$BL$22&gt;10000000,$BL$22&lt;=20000000),2,(IF(AND($BJ$18&gt;=BF6,$BJ$18&lt;=BJ6,$BL$22&gt;20000000),3,0)))))</f>
        <v>0</v>
      </c>
      <c r="BF6" s="87">
        <v>1300000</v>
      </c>
      <c r="BG6" s="87"/>
      <c r="BH6" s="87"/>
      <c r="BI6" s="79" t="s">
        <v>37</v>
      </c>
      <c r="BJ6" s="87">
        <v>4099999</v>
      </c>
      <c r="BK6" s="87"/>
      <c r="BL6" s="87"/>
      <c r="BM6" s="88">
        <f>IF(BE6=1,BJ18*0.75-275000,IF(BE6=2,BJ18*0.75-175000,IF(BE6=3,BJ18*0.75-75000,0)))</f>
        <v>0</v>
      </c>
      <c r="BN6" s="88"/>
      <c r="BO6" s="88"/>
      <c r="BP6" s="49"/>
      <c r="BQ6" s="41">
        <f>IF(AND($BV$18&gt;=BR6,$BV$18&lt;=BV6,$BX$22&lt;=10000000),1,(IF(AND($BV$18&gt;=BR6,$BV$18&lt;=BV6,$BX$22&gt;10000000,$BX$22&lt;=20000000),2,(IF(AND($BV$18&gt;=BR6,$BV$18&lt;=BV6,$BX$22&gt;20000000),3,0)))))</f>
        <v>0</v>
      </c>
      <c r="BR6" s="87">
        <v>3300000</v>
      </c>
      <c r="BS6" s="87"/>
      <c r="BT6" s="87"/>
      <c r="BU6" s="79" t="s">
        <v>37</v>
      </c>
      <c r="BV6" s="87">
        <v>4099999</v>
      </c>
      <c r="BW6" s="87"/>
      <c r="BX6" s="87"/>
      <c r="BY6" s="88">
        <f>IF(BQ6=1,BV18*0.75-275000,IF(BQ6=2,BV18*0.75-175000,IF(BQ6=3,BV18*0.75-75000,0)))</f>
        <v>0</v>
      </c>
      <c r="BZ6" s="88"/>
      <c r="CA6" s="88"/>
    </row>
    <row r="7" spans="1:79" ht="15" customHeight="1" thickTop="1" x14ac:dyDescent="0.15">
      <c r="B7" s="14"/>
      <c r="C7" s="24" t="s">
        <v>25</v>
      </c>
      <c r="D7" s="24"/>
      <c r="E7" s="24"/>
      <c r="F7" s="15"/>
      <c r="G7" s="15"/>
      <c r="H7" s="15"/>
      <c r="I7" s="15"/>
      <c r="J7" s="15"/>
      <c r="K7" s="15"/>
      <c r="L7" s="15"/>
      <c r="M7" s="15"/>
      <c r="N7" s="15"/>
      <c r="O7" s="15"/>
      <c r="P7" s="15"/>
      <c r="Q7" s="15"/>
      <c r="R7" s="15"/>
      <c r="S7" s="15"/>
      <c r="T7" s="15"/>
      <c r="U7" s="15"/>
      <c r="V7" s="15"/>
      <c r="W7" s="15"/>
      <c r="X7" s="15"/>
      <c r="Y7" s="15"/>
      <c r="Z7" s="15"/>
      <c r="AA7" s="15"/>
      <c r="AB7" s="15"/>
      <c r="AC7" s="16"/>
      <c r="AE7" s="5"/>
      <c r="AF7" s="5"/>
      <c r="AG7" s="5"/>
      <c r="AH7" s="5"/>
      <c r="AI7" s="5"/>
      <c r="AJ7" s="5"/>
      <c r="AK7" s="5"/>
      <c r="AL7" s="5"/>
      <c r="AS7" s="41">
        <f>IF(AND($AX$18&gt;=AT7,$AX$18&lt;=AX7),1,0)</f>
        <v>0</v>
      </c>
      <c r="AT7" s="87">
        <v>1619000</v>
      </c>
      <c r="AU7" s="87"/>
      <c r="AV7" s="87"/>
      <c r="AW7" s="79" t="s">
        <v>37</v>
      </c>
      <c r="AX7" s="87">
        <v>1619999</v>
      </c>
      <c r="AY7" s="87"/>
      <c r="AZ7" s="87"/>
      <c r="BA7" s="88">
        <f>IF(AS7=1,1069000,0)</f>
        <v>0</v>
      </c>
      <c r="BB7" s="88"/>
      <c r="BC7" s="88"/>
      <c r="BE7" s="41">
        <f>IF(AND($BJ$18&gt;=BF7,$BJ$18&lt;=BJ7,$BL$22&lt;=10000000),1,(IF(AND($BJ$18&gt;=BF7,$BJ$18&lt;=BJ7,$BL$22&gt;10000000,$BL$22&lt;=20000000),2,(IF(AND($BJ$18&gt;=BF7,$BJ$18&lt;=BJ7,$BL$22&gt;20000000),3,0)))))</f>
        <v>0</v>
      </c>
      <c r="BF7" s="87">
        <v>4100000</v>
      </c>
      <c r="BG7" s="87"/>
      <c r="BH7" s="87"/>
      <c r="BI7" s="79" t="s">
        <v>37</v>
      </c>
      <c r="BJ7" s="87">
        <v>7699999</v>
      </c>
      <c r="BK7" s="87"/>
      <c r="BL7" s="87"/>
      <c r="BM7" s="88">
        <f>IF(BE7=1,BJ18*0.85-685000,IF(BE7=2,BJ18*0.85-585000,IF(BE7=3,BJ18*0.85-485000,0)))</f>
        <v>0</v>
      </c>
      <c r="BN7" s="88"/>
      <c r="BO7" s="88"/>
      <c r="BP7" s="49"/>
      <c r="BQ7" s="41">
        <f>IF(AND($BV$18&gt;=BR7,$BV$18&lt;=BV7,$BX$22&lt;=10000000),1,(IF(AND($BV$18&gt;=BR7,$BV$18&lt;=BV7,$BX$22&gt;10000000,$BX$22&lt;=20000000),2,(IF(AND($BV$18&gt;=BR7,$BV$18&lt;=BV7,$BX$22&gt;20000000),3,0)))))</f>
        <v>0</v>
      </c>
      <c r="BR7" s="87">
        <v>4100000</v>
      </c>
      <c r="BS7" s="87"/>
      <c r="BT7" s="87"/>
      <c r="BU7" s="79" t="s">
        <v>37</v>
      </c>
      <c r="BV7" s="87">
        <v>7699999</v>
      </c>
      <c r="BW7" s="87"/>
      <c r="BX7" s="87"/>
      <c r="BY7" s="88">
        <f>IF(BQ7=1,BV18*0.85-685000,IF(BQ7=2,BV18*0.85-585000,IF(BQ7=3,BV18*0.85-485000,0)))</f>
        <v>0</v>
      </c>
      <c r="BZ7" s="88"/>
      <c r="CA7" s="88"/>
    </row>
    <row r="8" spans="1:79" ht="15" customHeight="1" x14ac:dyDescent="0.15">
      <c r="B8" s="17" t="s">
        <v>100</v>
      </c>
      <c r="C8" s="12"/>
      <c r="D8" s="12"/>
      <c r="E8" s="12"/>
      <c r="F8" s="12"/>
      <c r="G8" s="12"/>
      <c r="H8" s="12"/>
      <c r="I8" s="12"/>
      <c r="J8" s="12"/>
      <c r="K8" s="12"/>
      <c r="L8" s="12"/>
      <c r="M8" s="12"/>
      <c r="N8" s="12"/>
      <c r="O8" s="12"/>
      <c r="P8" s="12"/>
      <c r="Q8" s="12"/>
      <c r="R8" s="12"/>
      <c r="S8" s="12"/>
      <c r="T8" s="12"/>
      <c r="U8" s="12"/>
      <c r="V8" s="12"/>
      <c r="W8" s="12"/>
      <c r="X8" s="12"/>
      <c r="Y8" s="12"/>
      <c r="Z8" s="12"/>
      <c r="AA8" s="12"/>
      <c r="AB8" s="12"/>
      <c r="AC8" s="18"/>
      <c r="AE8" s="5"/>
      <c r="AF8" s="5"/>
      <c r="AG8" s="5"/>
      <c r="AH8" s="5"/>
      <c r="AI8" s="5"/>
      <c r="AJ8" s="5"/>
      <c r="AK8" s="5"/>
      <c r="AL8" s="5"/>
      <c r="AS8" s="41">
        <f>IF(AND($AX$18&gt;=AT8,$AX$18&lt;=AX8),1,0)</f>
        <v>0</v>
      </c>
      <c r="AT8" s="87">
        <v>1620000</v>
      </c>
      <c r="AU8" s="87"/>
      <c r="AV8" s="87"/>
      <c r="AW8" s="79" t="s">
        <v>37</v>
      </c>
      <c r="AX8" s="87">
        <v>1621999</v>
      </c>
      <c r="AY8" s="87"/>
      <c r="AZ8" s="87"/>
      <c r="BA8" s="88">
        <f>IF(AS8=1,1070000,0)</f>
        <v>0</v>
      </c>
      <c r="BB8" s="88"/>
      <c r="BC8" s="88"/>
      <c r="BE8" s="41">
        <f>IF(AND($BJ$18&gt;=BF8,$BJ$18&lt;=BJ8,$BL$22&lt;=10000000),1,(IF(AND($BJ$18&gt;=BF8,$BJ$18&lt;=BJ8,$BL$22&gt;10000000,$BL$22&lt;=20000000),2,(IF(AND($BJ$18&gt;=BF8,$BJ$18&lt;=BJ8,$BL$22&gt;20000000),3,0)))))</f>
        <v>0</v>
      </c>
      <c r="BF8" s="87">
        <v>7700000</v>
      </c>
      <c r="BG8" s="87"/>
      <c r="BH8" s="87"/>
      <c r="BI8" s="79" t="s">
        <v>37</v>
      </c>
      <c r="BJ8" s="87">
        <v>9999999</v>
      </c>
      <c r="BK8" s="87"/>
      <c r="BL8" s="87"/>
      <c r="BM8" s="88">
        <f>IF(BE8=1,BJ18*0.95-1455000,IF(BE8=2,BJ18*0.95-1355000,IF(BE8=3,BJ18*0.95-1255000,0)))</f>
        <v>0</v>
      </c>
      <c r="BN8" s="88"/>
      <c r="BO8" s="88"/>
      <c r="BP8" s="49"/>
      <c r="BQ8" s="41">
        <f>IF(AND($BV$18&gt;=BR8,$BV$18&lt;=BV8,$BX$22&lt;=10000000),1,(IF(AND($BV$18&gt;=BR8,$BV$18&lt;=BV8,$BX$22&gt;10000000,$BX$22&lt;=20000000),2,(IF(AND($BV$18&gt;=BR8,$BV$18&lt;=BV8,$BX$22&gt;20000000),3,0)))))</f>
        <v>0</v>
      </c>
      <c r="BR8" s="87">
        <v>7700000</v>
      </c>
      <c r="BS8" s="87"/>
      <c r="BT8" s="87"/>
      <c r="BU8" s="79" t="s">
        <v>37</v>
      </c>
      <c r="BV8" s="87">
        <v>9999999</v>
      </c>
      <c r="BW8" s="87"/>
      <c r="BX8" s="87"/>
      <c r="BY8" s="88">
        <f>IF(BQ8=1,BV18*0.95-1455000,IF(BQ8=2,BV18*0.95-1355000,IF(BQ8=3,BV18*0.95-1255000,0)))</f>
        <v>0</v>
      </c>
      <c r="BZ8" s="88"/>
      <c r="CA8" s="88"/>
    </row>
    <row r="9" spans="1:79" ht="15" customHeight="1" x14ac:dyDescent="0.15">
      <c r="B9" s="17"/>
      <c r="C9" s="12"/>
      <c r="D9" s="12" t="s">
        <v>30</v>
      </c>
      <c r="E9" s="12"/>
      <c r="F9" s="12"/>
      <c r="G9" s="12"/>
      <c r="H9" s="12"/>
      <c r="I9" s="12"/>
      <c r="J9" s="12"/>
      <c r="K9" s="12"/>
      <c r="L9" s="12"/>
      <c r="M9" s="12"/>
      <c r="N9" s="12"/>
      <c r="O9" s="12"/>
      <c r="P9" s="12"/>
      <c r="Q9" s="12"/>
      <c r="R9" s="12"/>
      <c r="S9" s="12"/>
      <c r="T9" s="12"/>
      <c r="U9" s="12"/>
      <c r="V9" s="12"/>
      <c r="W9" s="12"/>
      <c r="X9" s="12"/>
      <c r="Y9" s="12"/>
      <c r="Z9" s="12"/>
      <c r="AA9" s="12"/>
      <c r="AB9" s="12"/>
      <c r="AC9" s="18"/>
      <c r="AE9" s="5"/>
      <c r="AF9" s="5"/>
      <c r="AG9" s="5"/>
      <c r="AH9" s="5"/>
      <c r="AI9" s="5"/>
      <c r="AJ9" s="5"/>
      <c r="AK9" s="5"/>
      <c r="AL9" s="5"/>
      <c r="AS9" s="41">
        <f>IF(AND($AX$18&gt;=AT9,$AX$18&lt;=AX9),1,0)</f>
        <v>0</v>
      </c>
      <c r="AT9" s="87">
        <v>1622000</v>
      </c>
      <c r="AU9" s="87"/>
      <c r="AV9" s="87"/>
      <c r="AW9" s="79" t="s">
        <v>37</v>
      </c>
      <c r="AX9" s="87">
        <v>1623999</v>
      </c>
      <c r="AY9" s="87"/>
      <c r="AZ9" s="87"/>
      <c r="BA9" s="88">
        <f>IF(AS9=1,1072000,0)</f>
        <v>0</v>
      </c>
      <c r="BB9" s="88"/>
      <c r="BC9" s="88"/>
      <c r="BE9" s="41">
        <f>IF(AND($BJ$18&gt;=BF9,$BL$22&lt;=10000000),1,(IF(AND($BJ$18&gt;=BF9,$BL$22&gt;10000000,$BL$22&lt;=20000000),2,(IF(AND($BJ$18&gt;=BF9,$BL$22&gt;20000000),3,0)))))</f>
        <v>0</v>
      </c>
      <c r="BF9" s="87">
        <v>10000000</v>
      </c>
      <c r="BG9" s="87"/>
      <c r="BH9" s="87"/>
      <c r="BI9" s="79" t="s">
        <v>37</v>
      </c>
      <c r="BJ9" s="87"/>
      <c r="BK9" s="87"/>
      <c r="BL9" s="87"/>
      <c r="BM9" s="88">
        <f>IF(BE9=1,BJ18-1955000,IF(BE9=2,BJ18-1855000,IF(BE9=3,BJ18-1755000,0)))</f>
        <v>0</v>
      </c>
      <c r="BN9" s="88"/>
      <c r="BO9" s="88"/>
      <c r="BP9" s="49"/>
      <c r="BQ9" s="41">
        <f>IF(AND($BV$18&gt;=BR9,$BX$22&lt;=10000000),1,(IF(AND($BV$18&gt;=BR9,$BX$22&gt;10000000,$BX$22&lt;=20000000),2,(IF(AND($BV$18&gt;=BR9,$BX$22&gt;20000000),3,0)))))</f>
        <v>0</v>
      </c>
      <c r="BR9" s="87">
        <v>10000000</v>
      </c>
      <c r="BS9" s="87"/>
      <c r="BT9" s="87"/>
      <c r="BU9" s="79" t="s">
        <v>37</v>
      </c>
      <c r="BV9" s="87"/>
      <c r="BW9" s="87"/>
      <c r="BX9" s="87"/>
      <c r="BY9" s="88">
        <f>IF(BQ9=1,BV18-1955000,IF(BQ9=2,BV18-1855000,IF(BQ9=3,BV18-1755000,0)))</f>
        <v>0</v>
      </c>
      <c r="BZ9" s="88"/>
      <c r="CA9" s="88"/>
    </row>
    <row r="10" spans="1:79" ht="15" customHeight="1" x14ac:dyDescent="0.15">
      <c r="B10" s="17"/>
      <c r="C10" s="12"/>
      <c r="D10" s="12" t="s">
        <v>102</v>
      </c>
      <c r="E10" s="12"/>
      <c r="F10" s="12"/>
      <c r="G10" s="12"/>
      <c r="H10" s="12"/>
      <c r="I10" s="12"/>
      <c r="J10" s="12"/>
      <c r="K10" s="12"/>
      <c r="L10" s="12"/>
      <c r="M10" s="12"/>
      <c r="N10" s="12"/>
      <c r="O10" s="12"/>
      <c r="P10" s="12"/>
      <c r="Q10" s="12"/>
      <c r="R10" s="12"/>
      <c r="S10" s="12"/>
      <c r="T10" s="12"/>
      <c r="U10" s="12"/>
      <c r="V10" s="12"/>
      <c r="W10" s="12"/>
      <c r="X10" s="12"/>
      <c r="Y10" s="12"/>
      <c r="Z10" s="12"/>
      <c r="AA10" s="12"/>
      <c r="AB10" s="12"/>
      <c r="AC10" s="18"/>
      <c r="AE10" s="5"/>
      <c r="AF10" s="5"/>
      <c r="AG10" s="5"/>
      <c r="AH10" s="5"/>
      <c r="AI10" s="5"/>
      <c r="AJ10" s="5"/>
      <c r="AK10" s="5"/>
      <c r="AL10" s="5"/>
      <c r="AS10" s="41"/>
      <c r="AT10" s="85"/>
      <c r="AU10" s="85"/>
      <c r="AV10" s="85"/>
      <c r="AW10" s="85"/>
      <c r="AX10" s="85"/>
      <c r="AY10" s="85"/>
      <c r="AZ10" s="85"/>
      <c r="BA10" s="86"/>
      <c r="BB10" s="86"/>
      <c r="BC10" s="86"/>
      <c r="BE10" s="41"/>
      <c r="BF10" s="85"/>
      <c r="BG10" s="85"/>
      <c r="BH10" s="85"/>
      <c r="BI10" s="85"/>
      <c r="BJ10" s="85"/>
      <c r="BK10" s="85"/>
      <c r="BL10" s="85"/>
      <c r="BM10" s="86"/>
      <c r="BN10" s="86"/>
      <c r="BO10" s="86"/>
      <c r="BP10" s="49"/>
      <c r="BQ10" s="41"/>
      <c r="BR10" s="85"/>
      <c r="BS10" s="85"/>
      <c r="BT10" s="85"/>
      <c r="BU10" s="85"/>
      <c r="BV10" s="85"/>
      <c r="BW10" s="85"/>
      <c r="BX10" s="85"/>
      <c r="BY10" s="86"/>
      <c r="BZ10" s="86"/>
      <c r="CA10" s="86"/>
    </row>
    <row r="11" spans="1:79" ht="15" customHeight="1" x14ac:dyDescent="0.15">
      <c r="B11" s="17" t="s">
        <v>99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8"/>
      <c r="AE11" s="5"/>
      <c r="AF11" s="5"/>
      <c r="AG11" s="5"/>
      <c r="AH11" s="5"/>
      <c r="AI11" s="5"/>
      <c r="AJ11" s="5"/>
      <c r="AK11" s="5"/>
      <c r="AL11" s="5"/>
      <c r="AS11" s="41">
        <f>IF(AND($AX$18&gt;=AT11,$AX$18&lt;=AX11),1,0)</f>
        <v>0</v>
      </c>
      <c r="AT11" s="87">
        <v>1624000</v>
      </c>
      <c r="AU11" s="87"/>
      <c r="AV11" s="87"/>
      <c r="AW11" s="79" t="s">
        <v>37</v>
      </c>
      <c r="AX11" s="87">
        <v>1627999</v>
      </c>
      <c r="AY11" s="87"/>
      <c r="AZ11" s="87"/>
      <c r="BA11" s="88">
        <f>IF(AS11=1,1074000,0)</f>
        <v>0</v>
      </c>
      <c r="BB11" s="88"/>
      <c r="BC11" s="88"/>
      <c r="BE11" s="41"/>
      <c r="BF11" s="87"/>
      <c r="BG11" s="87"/>
      <c r="BH11" s="87"/>
      <c r="BI11" s="79" t="s">
        <v>37</v>
      </c>
      <c r="BJ11" s="87"/>
      <c r="BK11" s="87"/>
      <c r="BL11" s="87"/>
      <c r="BM11" s="88"/>
      <c r="BN11" s="88"/>
      <c r="BO11" s="88"/>
      <c r="BP11" s="49"/>
      <c r="BQ11" s="41"/>
      <c r="BR11" s="87"/>
      <c r="BS11" s="87"/>
      <c r="BT11" s="87"/>
      <c r="BU11" s="79" t="s">
        <v>37</v>
      </c>
      <c r="BV11" s="87"/>
      <c r="BW11" s="87"/>
      <c r="BX11" s="87"/>
      <c r="BY11" s="88"/>
      <c r="BZ11" s="88"/>
      <c r="CA11" s="88"/>
    </row>
    <row r="12" spans="1:79" ht="15" customHeight="1" x14ac:dyDescent="0.15">
      <c r="B12" s="17" t="s">
        <v>34</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8"/>
      <c r="AE12" s="5"/>
      <c r="AF12" s="5"/>
      <c r="AG12" s="5"/>
      <c r="AH12" s="5"/>
      <c r="AI12" s="5"/>
      <c r="AJ12" s="5"/>
      <c r="AK12" s="5"/>
      <c r="AL12" s="5"/>
      <c r="AS12" s="41">
        <f>IF(AND($AX$18&gt;=AT12,$AX$18&lt;=AX12),1,0)</f>
        <v>0</v>
      </c>
      <c r="AT12" s="87">
        <v>1628000</v>
      </c>
      <c r="AU12" s="87"/>
      <c r="AV12" s="87"/>
      <c r="AW12" s="79" t="s">
        <v>37</v>
      </c>
      <c r="AX12" s="87">
        <v>1799999</v>
      </c>
      <c r="AY12" s="87"/>
      <c r="AZ12" s="87"/>
      <c r="BA12" s="88">
        <f>IF(AS12=1,ROUNDDOWN(AX18/4,-3)*2.4+100000,0)</f>
        <v>0</v>
      </c>
      <c r="BB12" s="88"/>
      <c r="BC12" s="88"/>
      <c r="BE12" s="41"/>
      <c r="BF12" s="87"/>
      <c r="BG12" s="87"/>
      <c r="BH12" s="87"/>
      <c r="BI12" s="79" t="s">
        <v>37</v>
      </c>
      <c r="BJ12" s="87"/>
      <c r="BK12" s="87"/>
      <c r="BL12" s="87"/>
      <c r="BM12" s="88"/>
      <c r="BN12" s="88"/>
      <c r="BO12" s="88"/>
      <c r="BP12" s="49"/>
      <c r="BQ12" s="41"/>
      <c r="BR12" s="87"/>
      <c r="BS12" s="87"/>
      <c r="BT12" s="87"/>
      <c r="BU12" s="79" t="s">
        <v>37</v>
      </c>
      <c r="BV12" s="87"/>
      <c r="BW12" s="87"/>
      <c r="BX12" s="87"/>
      <c r="BY12" s="88"/>
      <c r="BZ12" s="88"/>
      <c r="CA12" s="88"/>
    </row>
    <row r="13" spans="1:79" ht="15" customHeight="1" x14ac:dyDescent="0.15">
      <c r="B13" s="17" t="s">
        <v>41</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8"/>
      <c r="AE13" s="5"/>
      <c r="AF13" s="5"/>
      <c r="AG13" s="5"/>
      <c r="AH13" s="5"/>
      <c r="AI13" s="5"/>
      <c r="AJ13" s="5"/>
      <c r="AK13" s="5"/>
      <c r="AL13" s="5"/>
      <c r="AS13" s="41">
        <f>IF(AND($AX$18&gt;=AT13,$AX$18&lt;=AX13),1,0)</f>
        <v>0</v>
      </c>
      <c r="AT13" s="87">
        <v>1800000</v>
      </c>
      <c r="AU13" s="87"/>
      <c r="AV13" s="87"/>
      <c r="AW13" s="79" t="s">
        <v>37</v>
      </c>
      <c r="AX13" s="87">
        <v>3599999</v>
      </c>
      <c r="AY13" s="87"/>
      <c r="AZ13" s="87"/>
      <c r="BA13" s="88">
        <f>IF(AS13=1,ROUNDDOWN(AX18/4,-3)*2.8-80000,0)</f>
        <v>0</v>
      </c>
      <c r="BB13" s="88"/>
      <c r="BC13" s="88"/>
      <c r="BE13" s="41"/>
      <c r="BF13" s="87"/>
      <c r="BG13" s="87"/>
      <c r="BH13" s="87"/>
      <c r="BI13" s="79" t="s">
        <v>37</v>
      </c>
      <c r="BJ13" s="87"/>
      <c r="BK13" s="87"/>
      <c r="BL13" s="87"/>
      <c r="BM13" s="88"/>
      <c r="BN13" s="88"/>
      <c r="BO13" s="88"/>
      <c r="BP13" s="49"/>
      <c r="BQ13" s="41"/>
      <c r="BR13" s="87"/>
      <c r="BS13" s="87"/>
      <c r="BT13" s="87"/>
      <c r="BU13" s="79" t="s">
        <v>37</v>
      </c>
      <c r="BV13" s="87"/>
      <c r="BW13" s="87"/>
      <c r="BX13" s="87"/>
      <c r="BY13" s="88"/>
      <c r="BZ13" s="88"/>
      <c r="CA13" s="88"/>
    </row>
    <row r="14" spans="1:79" ht="15" customHeight="1" x14ac:dyDescent="0.15">
      <c r="B14" s="17" t="s">
        <v>35</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8"/>
      <c r="AE14" s="5"/>
      <c r="AF14" s="5"/>
      <c r="AG14" s="5"/>
      <c r="AH14" s="5"/>
      <c r="AI14" s="5"/>
      <c r="AJ14" s="5"/>
      <c r="AK14" s="5"/>
      <c r="AL14" s="5"/>
      <c r="AS14" s="41">
        <f>IF(AND($AX$18&gt;=AT14,$AX$18&lt;=AX14),1,0)</f>
        <v>0</v>
      </c>
      <c r="AT14" s="87">
        <v>3600000</v>
      </c>
      <c r="AU14" s="87"/>
      <c r="AV14" s="87"/>
      <c r="AW14" s="79" t="s">
        <v>37</v>
      </c>
      <c r="AX14" s="87">
        <v>6599999</v>
      </c>
      <c r="AY14" s="87"/>
      <c r="AZ14" s="87"/>
      <c r="BA14" s="88">
        <f>IF(AS14=1,ROUNDDOWN(AX18/4,-3)*3.2-440000,0)</f>
        <v>0</v>
      </c>
      <c r="BB14" s="88"/>
      <c r="BC14" s="88"/>
      <c r="BE14" s="41"/>
      <c r="BF14" s="87"/>
      <c r="BG14" s="87"/>
      <c r="BH14" s="87"/>
      <c r="BI14" s="79" t="s">
        <v>37</v>
      </c>
      <c r="BJ14" s="87"/>
      <c r="BK14" s="87"/>
      <c r="BL14" s="87"/>
      <c r="BM14" s="88"/>
      <c r="BN14" s="88"/>
      <c r="BO14" s="88"/>
      <c r="BP14" s="49"/>
      <c r="BQ14" s="41"/>
      <c r="BR14" s="87"/>
      <c r="BS14" s="87"/>
      <c r="BT14" s="87"/>
      <c r="BU14" s="79" t="s">
        <v>37</v>
      </c>
      <c r="BV14" s="87"/>
      <c r="BW14" s="87"/>
      <c r="BX14" s="87"/>
      <c r="BY14" s="88"/>
      <c r="BZ14" s="88"/>
      <c r="CA14" s="88"/>
    </row>
    <row r="15" spans="1:79" ht="15" customHeight="1" x14ac:dyDescent="0.15">
      <c r="B15" s="17" t="s">
        <v>88</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8"/>
      <c r="AE15" s="5"/>
      <c r="AF15" s="5"/>
      <c r="AG15" s="5"/>
      <c r="AH15" s="5"/>
      <c r="AI15" s="5"/>
      <c r="AJ15" s="5"/>
      <c r="AK15" s="5"/>
      <c r="AL15" s="5"/>
      <c r="AS15" s="41">
        <f>IF(AND($AX$18&gt;=AT15,$AX$18&lt;=AX15),1,0)</f>
        <v>0</v>
      </c>
      <c r="AT15" s="87">
        <v>6600000</v>
      </c>
      <c r="AU15" s="87"/>
      <c r="AV15" s="87"/>
      <c r="AW15" s="79" t="s">
        <v>37</v>
      </c>
      <c r="AX15" s="87">
        <v>8499999</v>
      </c>
      <c r="AY15" s="87"/>
      <c r="AZ15" s="87"/>
      <c r="BA15" s="88">
        <f>IF(AS15=1,AX18*0.9-1100000,0)</f>
        <v>0</v>
      </c>
      <c r="BB15" s="88"/>
      <c r="BC15" s="88"/>
      <c r="BE15" s="41"/>
      <c r="BF15" s="87"/>
      <c r="BG15" s="87"/>
      <c r="BH15" s="87"/>
      <c r="BI15" s="79" t="s">
        <v>37</v>
      </c>
      <c r="BJ15" s="87"/>
      <c r="BK15" s="87"/>
      <c r="BL15" s="87"/>
      <c r="BM15" s="88"/>
      <c r="BN15" s="88"/>
      <c r="BO15" s="88"/>
      <c r="BP15" s="49"/>
      <c r="BQ15" s="41"/>
      <c r="BR15" s="87"/>
      <c r="BS15" s="87"/>
      <c r="BT15" s="87"/>
      <c r="BU15" s="79" t="s">
        <v>37</v>
      </c>
      <c r="BV15" s="87"/>
      <c r="BW15" s="87"/>
      <c r="BX15" s="87"/>
      <c r="BY15" s="88"/>
      <c r="BZ15" s="88"/>
      <c r="CA15" s="88"/>
    </row>
    <row r="16" spans="1:79" ht="15" customHeight="1" x14ac:dyDescent="0.15">
      <c r="B16" s="17"/>
      <c r="C16" s="13" t="s">
        <v>26</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9"/>
      <c r="AE16" s="5"/>
      <c r="AF16" s="5"/>
      <c r="AG16" s="5"/>
      <c r="AH16" s="5"/>
      <c r="AI16" s="5"/>
      <c r="AJ16" s="5"/>
      <c r="AK16" s="5"/>
      <c r="AL16" s="5"/>
      <c r="AS16" s="41">
        <f>IF($AX$18&gt;=AT16,1,0)</f>
        <v>0</v>
      </c>
      <c r="AT16" s="87">
        <v>8500000</v>
      </c>
      <c r="AU16" s="87"/>
      <c r="AV16" s="87"/>
      <c r="AW16" s="79" t="s">
        <v>37</v>
      </c>
      <c r="AX16" s="87"/>
      <c r="AY16" s="87"/>
      <c r="AZ16" s="87"/>
      <c r="BA16" s="88">
        <f>IF(AS16=1,AX18-1950000,0)</f>
        <v>0</v>
      </c>
      <c r="BB16" s="88"/>
      <c r="BC16" s="88"/>
      <c r="BE16" s="41"/>
      <c r="BF16" s="87"/>
      <c r="BG16" s="87"/>
      <c r="BH16" s="87"/>
      <c r="BI16" s="79" t="s">
        <v>37</v>
      </c>
      <c r="BJ16" s="87"/>
      <c r="BK16" s="87"/>
      <c r="BL16" s="87"/>
      <c r="BM16" s="88"/>
      <c r="BN16" s="88"/>
      <c r="BO16" s="88"/>
      <c r="BP16" s="49"/>
      <c r="BQ16" s="41"/>
      <c r="BR16" s="87"/>
      <c r="BS16" s="87"/>
      <c r="BT16" s="87"/>
      <c r="BU16" s="79" t="s">
        <v>37</v>
      </c>
      <c r="BV16" s="87"/>
      <c r="BW16" s="87"/>
      <c r="BX16" s="87"/>
      <c r="BY16" s="88"/>
      <c r="BZ16" s="88"/>
      <c r="CA16" s="88"/>
    </row>
    <row r="17" spans="1:79" ht="15" customHeight="1" thickBot="1" x14ac:dyDescent="0.2">
      <c r="B17" s="20"/>
      <c r="C17" s="21" t="s">
        <v>27</v>
      </c>
      <c r="D17" s="22"/>
      <c r="E17" s="21"/>
      <c r="F17" s="21"/>
      <c r="G17" s="21"/>
      <c r="H17" s="21"/>
      <c r="I17" s="21"/>
      <c r="J17" s="21"/>
      <c r="K17" s="21"/>
      <c r="L17" s="21"/>
      <c r="M17" s="21"/>
      <c r="N17" s="21"/>
      <c r="O17" s="21"/>
      <c r="P17" s="21"/>
      <c r="Q17" s="21"/>
      <c r="R17" s="21"/>
      <c r="S17" s="21"/>
      <c r="T17" s="21"/>
      <c r="U17" s="21"/>
      <c r="V17" s="21"/>
      <c r="W17" s="21"/>
      <c r="X17" s="21"/>
      <c r="Y17" s="21"/>
      <c r="Z17" s="21"/>
      <c r="AA17" s="21"/>
      <c r="AB17" s="21"/>
      <c r="AC17" s="23"/>
      <c r="AE17" s="5"/>
      <c r="AF17" s="5"/>
      <c r="AG17" s="5"/>
      <c r="AH17" s="5"/>
      <c r="AI17" s="5"/>
      <c r="AJ17" s="5"/>
      <c r="AK17" s="5"/>
      <c r="AL17" s="5"/>
      <c r="AS17" s="78"/>
      <c r="AT17" s="46"/>
      <c r="AU17" s="46"/>
      <c r="AV17" s="46"/>
      <c r="AW17" s="78"/>
      <c r="AX17" s="38"/>
      <c r="AY17" s="38"/>
      <c r="AZ17" s="38"/>
      <c r="BA17" s="43"/>
      <c r="BB17" s="43"/>
      <c r="BC17" s="43"/>
      <c r="BE17" s="78"/>
      <c r="BF17" s="46"/>
      <c r="BG17" s="46"/>
      <c r="BH17" s="46"/>
      <c r="BI17" s="78"/>
      <c r="BJ17" s="38"/>
      <c r="BK17" s="38"/>
      <c r="BL17" s="38"/>
      <c r="BM17" s="43"/>
      <c r="BN17" s="43"/>
      <c r="BO17" s="43"/>
      <c r="BP17" s="43"/>
      <c r="BQ17" s="78"/>
      <c r="BR17" s="46"/>
      <c r="BS17" s="46"/>
      <c r="BT17" s="46"/>
      <c r="BU17" s="78"/>
      <c r="BV17" s="38"/>
      <c r="BW17" s="38"/>
      <c r="BX17" s="38"/>
      <c r="BY17" s="43"/>
      <c r="BZ17" s="43"/>
      <c r="CA17" s="43"/>
    </row>
    <row r="18" spans="1:79" ht="42.75" customHeight="1" thickTop="1" thickBot="1" x14ac:dyDescent="0.2">
      <c r="B18" s="25"/>
      <c r="C18" s="25"/>
      <c r="D18" s="25"/>
      <c r="E18" s="25"/>
      <c r="F18" s="25"/>
      <c r="G18" s="25"/>
      <c r="H18" s="25"/>
      <c r="I18" s="25"/>
      <c r="J18" s="10"/>
      <c r="K18" s="10"/>
      <c r="L18" s="7"/>
      <c r="M18" s="7"/>
      <c r="N18" s="7"/>
      <c r="O18" s="7"/>
      <c r="P18" s="7"/>
      <c r="Q18" s="7"/>
      <c r="R18" s="7"/>
      <c r="S18" s="7"/>
      <c r="T18" s="7"/>
      <c r="U18" s="7"/>
      <c r="V18" s="7"/>
      <c r="W18" s="7"/>
      <c r="X18" s="7"/>
      <c r="Y18" s="7"/>
      <c r="Z18" s="7"/>
      <c r="AA18" s="3"/>
      <c r="AB18" s="3"/>
      <c r="AC18" s="3"/>
      <c r="AE18" s="5"/>
      <c r="AF18" s="5"/>
      <c r="AG18" s="5"/>
      <c r="AH18" s="5"/>
      <c r="AI18" s="5"/>
      <c r="AJ18" s="5"/>
      <c r="AK18" s="5"/>
      <c r="AL18" s="5"/>
      <c r="AM18" s="5"/>
      <c r="AN18" s="5"/>
      <c r="AO18" s="5"/>
      <c r="AP18" s="5"/>
      <c r="AQ18" s="5"/>
      <c r="AS18" s="78"/>
      <c r="AT18" s="104" t="s">
        <v>31</v>
      </c>
      <c r="AU18" s="104"/>
      <c r="AV18" s="104"/>
      <c r="AW18" s="104"/>
      <c r="AX18" s="105">
        <f>F21</f>
        <v>0</v>
      </c>
      <c r="AY18" s="106"/>
      <c r="AZ18" s="107"/>
      <c r="BA18" s="44"/>
      <c r="BB18" s="45"/>
      <c r="BC18" s="45"/>
      <c r="BE18" s="78"/>
      <c r="BF18" s="104" t="s">
        <v>43</v>
      </c>
      <c r="BG18" s="104"/>
      <c r="BH18" s="104"/>
      <c r="BI18" s="104"/>
      <c r="BJ18" s="108">
        <f>J21</f>
        <v>0</v>
      </c>
      <c r="BK18" s="108"/>
      <c r="BL18" s="108"/>
      <c r="BM18" s="44"/>
      <c r="BN18" s="45"/>
      <c r="BO18" s="45"/>
      <c r="BP18" s="45"/>
      <c r="BQ18" s="78"/>
      <c r="BR18" s="104" t="s">
        <v>43</v>
      </c>
      <c r="BS18" s="104"/>
      <c r="BT18" s="104"/>
      <c r="BU18" s="104"/>
      <c r="BV18" s="108">
        <f>BJ18</f>
        <v>0</v>
      </c>
      <c r="BW18" s="108"/>
      <c r="BX18" s="108"/>
      <c r="BY18" s="44"/>
      <c r="BZ18" s="45"/>
      <c r="CA18" s="45"/>
    </row>
    <row r="19" spans="1:79" ht="27.75" customHeight="1" thickTop="1" x14ac:dyDescent="0.15">
      <c r="A19" s="26"/>
      <c r="B19" s="131" t="s">
        <v>101</v>
      </c>
      <c r="C19" s="132"/>
      <c r="D19" s="135" t="s">
        <v>21</v>
      </c>
      <c r="E19" s="136"/>
      <c r="F19" s="137" t="s">
        <v>31</v>
      </c>
      <c r="G19" s="138"/>
      <c r="H19" s="138"/>
      <c r="I19" s="138"/>
      <c r="J19" s="137" t="s">
        <v>40</v>
      </c>
      <c r="K19" s="138"/>
      <c r="L19" s="138"/>
      <c r="M19" s="138"/>
      <c r="N19" s="137" t="s">
        <v>32</v>
      </c>
      <c r="O19" s="138"/>
      <c r="P19" s="138"/>
      <c r="Q19" s="139"/>
      <c r="R19" s="140" t="s">
        <v>22</v>
      </c>
      <c r="S19" s="141"/>
      <c r="T19" s="141"/>
      <c r="U19" s="142"/>
      <c r="V19" s="125" t="s">
        <v>84</v>
      </c>
      <c r="W19" s="126"/>
      <c r="X19" s="126"/>
      <c r="Y19" s="127"/>
      <c r="Z19" s="12"/>
      <c r="AA19" s="12"/>
      <c r="AB19" s="12"/>
      <c r="AC19" s="12"/>
      <c r="AD19" s="12"/>
      <c r="AE19" s="12"/>
      <c r="AF19" s="12"/>
      <c r="AG19" s="12"/>
      <c r="AH19" s="12"/>
      <c r="AI19" s="12"/>
      <c r="AJ19" s="12"/>
      <c r="AK19" s="12"/>
      <c r="AL19" s="12"/>
      <c r="AM19" s="12"/>
      <c r="AN19" s="12"/>
      <c r="AT19" s="104" t="s">
        <v>42</v>
      </c>
      <c r="AU19" s="104"/>
      <c r="AV19" s="104"/>
      <c r="AW19" s="104"/>
      <c r="AX19" s="119">
        <f>SUM(BA5:BC16)</f>
        <v>0</v>
      </c>
      <c r="AY19" s="112"/>
      <c r="AZ19" s="112"/>
      <c r="BF19" s="104" t="s">
        <v>44</v>
      </c>
      <c r="BG19" s="104"/>
      <c r="BH19" s="104"/>
      <c r="BI19" s="104"/>
      <c r="BJ19" s="119">
        <f>SUM(BM5:BO16)</f>
        <v>0</v>
      </c>
      <c r="BK19" s="112"/>
      <c r="BL19" s="112"/>
      <c r="BM19" s="65">
        <f>IF(D21&lt;65,1,0)</f>
        <v>1</v>
      </c>
      <c r="BR19" s="104" t="s">
        <v>44</v>
      </c>
      <c r="BS19" s="104"/>
      <c r="BT19" s="104"/>
      <c r="BU19" s="104"/>
      <c r="BV19" s="119">
        <f>SUM(BY5:CA16)</f>
        <v>0</v>
      </c>
      <c r="BW19" s="112"/>
      <c r="BX19" s="112"/>
      <c r="BY19" s="65">
        <f>IF(D21&lt;65,0,1)</f>
        <v>0</v>
      </c>
    </row>
    <row r="20" spans="1:79" ht="42.75" customHeight="1" x14ac:dyDescent="0.15">
      <c r="A20" s="26"/>
      <c r="B20" s="133"/>
      <c r="C20" s="134"/>
      <c r="D20" s="75" t="s">
        <v>104</v>
      </c>
      <c r="E20" s="72" t="s">
        <v>105</v>
      </c>
      <c r="F20" s="120" t="s">
        <v>106</v>
      </c>
      <c r="G20" s="120"/>
      <c r="H20" s="120"/>
      <c r="I20" s="120"/>
      <c r="J20" s="120" t="s">
        <v>106</v>
      </c>
      <c r="K20" s="120"/>
      <c r="L20" s="120"/>
      <c r="M20" s="120"/>
      <c r="N20" s="120" t="s">
        <v>107</v>
      </c>
      <c r="O20" s="120"/>
      <c r="P20" s="120"/>
      <c r="Q20" s="121"/>
      <c r="R20" s="122" t="s">
        <v>33</v>
      </c>
      <c r="S20" s="123"/>
      <c r="T20" s="123"/>
      <c r="U20" s="124"/>
      <c r="V20" s="128"/>
      <c r="W20" s="129"/>
      <c r="X20" s="129"/>
      <c r="Y20" s="130"/>
      <c r="Z20" s="12"/>
      <c r="AA20" s="12"/>
      <c r="AB20" s="12"/>
      <c r="AC20" s="12"/>
      <c r="AD20" s="12"/>
      <c r="AE20" s="12"/>
      <c r="AF20" s="12"/>
      <c r="AG20" s="12"/>
      <c r="AH20" s="12"/>
      <c r="AI20" s="12"/>
      <c r="AJ20" s="12"/>
      <c r="AK20" s="12"/>
      <c r="AL20" s="12"/>
      <c r="AM20" s="12"/>
      <c r="AN20" s="12"/>
      <c r="BJ20" s="47"/>
      <c r="BK20" s="47"/>
      <c r="BL20" s="47"/>
      <c r="BV20" s="47"/>
      <c r="BW20" s="47"/>
      <c r="BX20" s="47"/>
    </row>
    <row r="21" spans="1:79" ht="15" customHeight="1" x14ac:dyDescent="0.15">
      <c r="A21" s="26"/>
      <c r="B21" s="113"/>
      <c r="C21" s="114"/>
      <c r="D21" s="73"/>
      <c r="E21" s="73"/>
      <c r="F21" s="109"/>
      <c r="G21" s="110"/>
      <c r="H21" s="110"/>
      <c r="I21" s="110"/>
      <c r="J21" s="109"/>
      <c r="K21" s="110"/>
      <c r="L21" s="110"/>
      <c r="M21" s="110"/>
      <c r="N21" s="109"/>
      <c r="O21" s="110"/>
      <c r="P21" s="110"/>
      <c r="Q21" s="111"/>
      <c r="R21" s="115">
        <f>X38</f>
        <v>0</v>
      </c>
      <c r="S21" s="116"/>
      <c r="T21" s="116"/>
      <c r="U21" s="117"/>
      <c r="V21" s="109"/>
      <c r="W21" s="110"/>
      <c r="X21" s="110"/>
      <c r="Y21" s="111"/>
      <c r="Z21" s="12"/>
      <c r="AA21" s="68"/>
      <c r="AB21" s="68"/>
      <c r="AC21" s="68"/>
      <c r="AD21" s="12"/>
      <c r="AE21" s="12"/>
      <c r="AF21" s="12"/>
      <c r="AG21" s="12"/>
      <c r="AH21" s="12"/>
      <c r="AI21" s="12"/>
      <c r="AJ21" s="12"/>
      <c r="AK21" s="12"/>
      <c r="AL21" s="12"/>
      <c r="AM21" s="12"/>
      <c r="AN21" s="12"/>
      <c r="BE21" s="112" t="s">
        <v>83</v>
      </c>
      <c r="BF21" s="112"/>
      <c r="BG21" s="112"/>
      <c r="BH21" s="112"/>
      <c r="BI21" s="112"/>
      <c r="BJ21" s="112"/>
      <c r="BK21" s="112"/>
      <c r="BL21" s="112"/>
      <c r="BM21" s="112"/>
      <c r="BN21" s="112"/>
      <c r="BO21" s="112"/>
      <c r="BP21" s="69"/>
      <c r="BQ21" s="112" t="s">
        <v>83</v>
      </c>
      <c r="BR21" s="112"/>
      <c r="BS21" s="112"/>
      <c r="BT21" s="112"/>
      <c r="BU21" s="112"/>
      <c r="BV21" s="112"/>
      <c r="BW21" s="112"/>
      <c r="BX21" s="112"/>
      <c r="BY21" s="112"/>
      <c r="BZ21" s="112"/>
      <c r="CA21" s="112"/>
    </row>
    <row r="22" spans="1:79" ht="15" customHeight="1" x14ac:dyDescent="0.15">
      <c r="A22" s="26"/>
      <c r="B22" s="113"/>
      <c r="C22" s="114"/>
      <c r="D22" s="73"/>
      <c r="E22" s="73"/>
      <c r="F22" s="109"/>
      <c r="G22" s="110"/>
      <c r="H22" s="110"/>
      <c r="I22" s="110"/>
      <c r="J22" s="109"/>
      <c r="K22" s="110"/>
      <c r="L22" s="110"/>
      <c r="M22" s="110"/>
      <c r="N22" s="109"/>
      <c r="O22" s="110"/>
      <c r="P22" s="110"/>
      <c r="Q22" s="111"/>
      <c r="R22" s="115">
        <f>X39</f>
        <v>0</v>
      </c>
      <c r="S22" s="116"/>
      <c r="T22" s="116"/>
      <c r="U22" s="117"/>
      <c r="V22" s="109"/>
      <c r="W22" s="110"/>
      <c r="X22" s="110"/>
      <c r="Y22" s="111"/>
      <c r="Z22" s="12"/>
      <c r="AA22" s="12"/>
      <c r="AB22" s="12"/>
      <c r="AC22" s="12"/>
      <c r="AD22" s="12"/>
      <c r="AE22" s="12"/>
      <c r="AF22" s="12"/>
      <c r="AG22" s="12"/>
      <c r="AH22" s="12"/>
      <c r="AI22" s="12"/>
      <c r="AJ22" s="12"/>
      <c r="AK22" s="12"/>
      <c r="AL22" s="12"/>
      <c r="AM22" s="12"/>
      <c r="AN22" s="12"/>
      <c r="BL22" s="118">
        <f>V21</f>
        <v>0</v>
      </c>
      <c r="BM22" s="118"/>
      <c r="BN22" s="118"/>
      <c r="BO22" s="118"/>
      <c r="BP22" s="50"/>
      <c r="BX22" s="118">
        <f>BL22</f>
        <v>0</v>
      </c>
      <c r="BY22" s="118"/>
      <c r="BZ22" s="118"/>
      <c r="CA22" s="118"/>
    </row>
    <row r="23" spans="1:79" ht="15" customHeight="1" x14ac:dyDescent="0.15">
      <c r="A23" s="26"/>
      <c r="B23" s="113"/>
      <c r="C23" s="114"/>
      <c r="D23" s="73"/>
      <c r="E23" s="73"/>
      <c r="F23" s="109"/>
      <c r="G23" s="110"/>
      <c r="H23" s="110"/>
      <c r="I23" s="110"/>
      <c r="J23" s="109"/>
      <c r="K23" s="110"/>
      <c r="L23" s="110"/>
      <c r="M23" s="110"/>
      <c r="N23" s="109"/>
      <c r="O23" s="110"/>
      <c r="P23" s="110"/>
      <c r="Q23" s="111"/>
      <c r="R23" s="115">
        <f t="shared" ref="R23:R28" si="0">X40</f>
        <v>0</v>
      </c>
      <c r="S23" s="116"/>
      <c r="T23" s="116"/>
      <c r="U23" s="117"/>
      <c r="V23" s="109"/>
      <c r="W23" s="110"/>
      <c r="X23" s="110"/>
      <c r="Y23" s="111"/>
      <c r="Z23" s="12"/>
      <c r="AA23" s="12"/>
      <c r="AB23" s="12"/>
      <c r="AC23" s="12"/>
      <c r="AD23" s="12"/>
      <c r="AE23" s="12"/>
      <c r="AF23" s="12"/>
      <c r="AG23" s="12"/>
      <c r="AH23" s="12"/>
      <c r="AI23" s="12"/>
      <c r="AJ23" s="12"/>
      <c r="AK23" s="12"/>
      <c r="AL23" s="12"/>
      <c r="AM23" s="12"/>
      <c r="AN23" s="12"/>
      <c r="AT23" t="s">
        <v>85</v>
      </c>
    </row>
    <row r="24" spans="1:79" ht="15" customHeight="1" x14ac:dyDescent="0.15">
      <c r="A24" s="26"/>
      <c r="B24" s="113"/>
      <c r="C24" s="114"/>
      <c r="D24" s="73"/>
      <c r="E24" s="73"/>
      <c r="F24" s="109"/>
      <c r="G24" s="110"/>
      <c r="H24" s="110"/>
      <c r="I24" s="110"/>
      <c r="J24" s="109"/>
      <c r="K24" s="110"/>
      <c r="L24" s="110"/>
      <c r="M24" s="110"/>
      <c r="N24" s="109"/>
      <c r="O24" s="110"/>
      <c r="P24" s="110"/>
      <c r="Q24" s="111"/>
      <c r="R24" s="115">
        <f t="shared" si="0"/>
        <v>0</v>
      </c>
      <c r="S24" s="116"/>
      <c r="T24" s="116"/>
      <c r="U24" s="117"/>
      <c r="V24" s="109"/>
      <c r="W24" s="110"/>
      <c r="X24" s="110"/>
      <c r="Y24" s="111"/>
      <c r="Z24" s="12"/>
      <c r="AA24" s="12"/>
      <c r="AB24" s="12"/>
      <c r="AC24" s="12"/>
      <c r="AD24" s="12"/>
      <c r="AE24" s="12"/>
      <c r="AF24" s="12"/>
      <c r="AG24" s="12"/>
      <c r="AH24" s="12"/>
      <c r="AI24" s="12"/>
      <c r="AJ24" s="12"/>
      <c r="AK24" s="12"/>
      <c r="AL24" s="12"/>
      <c r="AM24" s="12"/>
      <c r="AN24" s="12"/>
      <c r="AT24" s="112" t="s">
        <v>42</v>
      </c>
      <c r="AU24" s="112"/>
      <c r="AV24" s="112"/>
      <c r="AW24" s="112"/>
      <c r="AX24" s="119">
        <f>AX19</f>
        <v>0</v>
      </c>
      <c r="AY24" s="112"/>
      <c r="AZ24" s="112"/>
      <c r="BB24" t="s">
        <v>87</v>
      </c>
    </row>
    <row r="25" spans="1:79" ht="15" customHeight="1" x14ac:dyDescent="0.15">
      <c r="A25" s="26"/>
      <c r="B25" s="113"/>
      <c r="C25" s="114"/>
      <c r="D25" s="73"/>
      <c r="E25" s="73"/>
      <c r="F25" s="109"/>
      <c r="G25" s="110"/>
      <c r="H25" s="110"/>
      <c r="I25" s="110"/>
      <c r="J25" s="109"/>
      <c r="K25" s="110"/>
      <c r="L25" s="110"/>
      <c r="M25" s="110"/>
      <c r="N25" s="109"/>
      <c r="O25" s="110"/>
      <c r="P25" s="110"/>
      <c r="Q25" s="111"/>
      <c r="R25" s="115">
        <f>X42</f>
        <v>0</v>
      </c>
      <c r="S25" s="116"/>
      <c r="T25" s="116"/>
      <c r="U25" s="117"/>
      <c r="V25" s="109"/>
      <c r="W25" s="110"/>
      <c r="X25" s="110"/>
      <c r="Y25" s="111"/>
      <c r="Z25" s="12"/>
      <c r="AA25" s="12"/>
      <c r="AB25" s="12"/>
      <c r="AC25" s="12"/>
      <c r="AD25" s="12"/>
      <c r="AE25" s="12"/>
      <c r="AF25" s="12"/>
      <c r="AG25" s="12"/>
      <c r="AH25" s="12"/>
      <c r="AI25" s="12"/>
      <c r="AJ25" s="12"/>
      <c r="AK25" s="12"/>
      <c r="AL25" s="12"/>
      <c r="AM25" s="12"/>
      <c r="AN25" s="12"/>
      <c r="AT25" s="112" t="s">
        <v>48</v>
      </c>
      <c r="AU25" s="112"/>
      <c r="AV25" s="112"/>
      <c r="AW25" s="112"/>
      <c r="AX25" s="143">
        <f>IF(BM19=1,BJ19,IF(BY19=1,BV19,0))</f>
        <v>0</v>
      </c>
      <c r="AY25" s="143"/>
      <c r="AZ25" s="143"/>
      <c r="BB25" t="s">
        <v>86</v>
      </c>
    </row>
    <row r="26" spans="1:79" ht="15" customHeight="1" x14ac:dyDescent="0.15">
      <c r="A26" s="26"/>
      <c r="B26" s="113"/>
      <c r="C26" s="114"/>
      <c r="D26" s="73"/>
      <c r="E26" s="73"/>
      <c r="F26" s="109"/>
      <c r="G26" s="110"/>
      <c r="H26" s="110"/>
      <c r="I26" s="110"/>
      <c r="J26" s="109"/>
      <c r="K26" s="110"/>
      <c r="L26" s="110"/>
      <c r="M26" s="110"/>
      <c r="N26" s="109"/>
      <c r="O26" s="110"/>
      <c r="P26" s="110"/>
      <c r="Q26" s="111"/>
      <c r="R26" s="115">
        <f t="shared" si="0"/>
        <v>0</v>
      </c>
      <c r="S26" s="116"/>
      <c r="T26" s="116"/>
      <c r="U26" s="117"/>
      <c r="V26" s="109"/>
      <c r="W26" s="110"/>
      <c r="X26" s="110"/>
      <c r="Y26" s="111"/>
      <c r="Z26" s="12"/>
      <c r="AA26" s="12"/>
      <c r="AB26" s="12"/>
      <c r="AC26" s="12"/>
      <c r="AD26" s="12"/>
      <c r="AE26" s="12"/>
      <c r="AF26" s="12"/>
      <c r="AG26" s="12"/>
      <c r="AH26" s="12"/>
      <c r="AI26" s="12"/>
      <c r="AJ26" s="12"/>
      <c r="AK26" s="12"/>
      <c r="AL26" s="12"/>
      <c r="AM26" s="12"/>
      <c r="AN26" s="12"/>
      <c r="AT26" s="112" t="s">
        <v>49</v>
      </c>
      <c r="AU26" s="112"/>
      <c r="AV26" s="112"/>
      <c r="AW26" s="112"/>
      <c r="AX26" s="119">
        <f>SUM(AX24:AZ25)+IF((AND(AX24&gt;0,AX25&gt;0,(AX24+AX25)&gt;100000)),-100000,0)</f>
        <v>0</v>
      </c>
      <c r="AY26" s="112"/>
      <c r="AZ26" s="112"/>
      <c r="BB26" t="s">
        <v>70</v>
      </c>
      <c r="BO26" s="70"/>
      <c r="BP26" s="70"/>
      <c r="BQ26" s="70"/>
      <c r="BR26" s="70"/>
      <c r="BS26" s="70"/>
    </row>
    <row r="27" spans="1:79" ht="15" customHeight="1" x14ac:dyDescent="0.15">
      <c r="A27" s="26"/>
      <c r="B27" s="113"/>
      <c r="C27" s="114"/>
      <c r="D27" s="73"/>
      <c r="E27" s="73"/>
      <c r="F27" s="109"/>
      <c r="G27" s="110"/>
      <c r="H27" s="110"/>
      <c r="I27" s="110"/>
      <c r="J27" s="109"/>
      <c r="K27" s="110"/>
      <c r="L27" s="110"/>
      <c r="M27" s="110"/>
      <c r="N27" s="109"/>
      <c r="O27" s="110"/>
      <c r="P27" s="110"/>
      <c r="Q27" s="111"/>
      <c r="R27" s="115">
        <f t="shared" si="0"/>
        <v>0</v>
      </c>
      <c r="S27" s="116"/>
      <c r="T27" s="116"/>
      <c r="U27" s="117"/>
      <c r="V27" s="109"/>
      <c r="W27" s="110"/>
      <c r="X27" s="110"/>
      <c r="Y27" s="111"/>
      <c r="Z27" s="13"/>
      <c r="AA27" s="13"/>
      <c r="AB27" s="13"/>
      <c r="AC27" s="13"/>
      <c r="AD27" s="13"/>
      <c r="AE27" s="13"/>
      <c r="AF27" s="13"/>
      <c r="AG27" s="13"/>
      <c r="AH27" s="13"/>
      <c r="AI27" s="13"/>
      <c r="AJ27" s="13"/>
      <c r="AK27" s="13"/>
      <c r="AL27" s="13"/>
      <c r="AM27" s="13"/>
      <c r="AN27" s="13"/>
    </row>
    <row r="28" spans="1:79" ht="15" customHeight="1" thickBot="1" x14ac:dyDescent="0.2">
      <c r="A28" s="26"/>
      <c r="B28" s="144"/>
      <c r="C28" s="145"/>
      <c r="D28" s="74"/>
      <c r="E28" s="74"/>
      <c r="F28" s="146"/>
      <c r="G28" s="147"/>
      <c r="H28" s="147"/>
      <c r="I28" s="147"/>
      <c r="J28" s="146"/>
      <c r="K28" s="147"/>
      <c r="L28" s="147"/>
      <c r="M28" s="147"/>
      <c r="N28" s="146"/>
      <c r="O28" s="147"/>
      <c r="P28" s="147"/>
      <c r="Q28" s="148"/>
      <c r="R28" s="149">
        <f t="shared" si="0"/>
        <v>0</v>
      </c>
      <c r="S28" s="150"/>
      <c r="T28" s="150"/>
      <c r="U28" s="151"/>
      <c r="V28" s="146"/>
      <c r="W28" s="147"/>
      <c r="X28" s="147"/>
      <c r="Y28" s="148"/>
      <c r="Z28" s="13"/>
      <c r="AA28" s="13"/>
      <c r="AB28" s="13"/>
      <c r="AC28" s="13"/>
      <c r="AD28" s="13"/>
      <c r="AE28" s="13"/>
      <c r="AF28" s="13"/>
      <c r="AG28" s="13"/>
      <c r="AH28" s="13"/>
      <c r="AI28" s="13"/>
      <c r="AJ28" s="13"/>
      <c r="AK28" s="13"/>
      <c r="AL28" s="13"/>
      <c r="AM28" s="13"/>
      <c r="AN28" s="13"/>
      <c r="AT28" s="112" t="s">
        <v>82</v>
      </c>
      <c r="AU28" s="112"/>
      <c r="AV28" s="112"/>
      <c r="AW28" s="112"/>
      <c r="AX28" s="143">
        <f>MAX(IF(BM19=1,BJ19,IF(BY19=1,BV19-150000,0)),0)</f>
        <v>0</v>
      </c>
      <c r="AY28" s="143"/>
      <c r="AZ28" s="143"/>
    </row>
    <row r="29" spans="1:79" ht="26.25" customHeight="1" thickTop="1" x14ac:dyDescent="0.15">
      <c r="B29" s="9" t="s">
        <v>13</v>
      </c>
      <c r="C29" s="7"/>
      <c r="D29" s="7"/>
      <c r="E29" s="7"/>
      <c r="F29" s="7"/>
      <c r="G29" s="7"/>
      <c r="H29" s="7"/>
      <c r="I29" s="7"/>
      <c r="J29" s="7"/>
      <c r="K29" s="7"/>
      <c r="L29" s="7"/>
      <c r="M29" s="7"/>
      <c r="N29" s="7"/>
      <c r="O29" s="7"/>
      <c r="P29" s="7"/>
      <c r="Q29" s="7"/>
      <c r="R29" s="7"/>
      <c r="S29" s="7"/>
      <c r="T29" s="7"/>
      <c r="U29" s="7"/>
      <c r="V29" s="7"/>
      <c r="W29" s="7"/>
      <c r="X29" s="7"/>
      <c r="Y29" s="7"/>
      <c r="Z29" s="7"/>
      <c r="AA29" s="3"/>
      <c r="AB29" s="3"/>
      <c r="AC29" s="3"/>
    </row>
    <row r="30" spans="1:79" ht="34.5" customHeight="1" x14ac:dyDescent="0.15">
      <c r="A30" s="78"/>
      <c r="B30" s="11"/>
      <c r="C30" s="77"/>
      <c r="D30" s="77"/>
      <c r="E30" s="154" t="s">
        <v>20</v>
      </c>
      <c r="F30" s="155"/>
      <c r="G30" s="155"/>
      <c r="H30" s="152" t="s">
        <v>7</v>
      </c>
      <c r="I30" s="152"/>
      <c r="J30" s="152"/>
      <c r="K30" s="152" t="s">
        <v>28</v>
      </c>
      <c r="L30" s="152"/>
      <c r="M30" s="152"/>
      <c r="N30" s="152" t="s">
        <v>29</v>
      </c>
      <c r="O30" s="152"/>
      <c r="P30" s="152"/>
      <c r="Q30" s="152" t="s">
        <v>6</v>
      </c>
      <c r="R30" s="152"/>
      <c r="S30" s="152"/>
      <c r="T30" s="156" t="s">
        <v>71</v>
      </c>
      <c r="U30" s="152"/>
      <c r="V30" s="152"/>
      <c r="W30" s="156" t="s">
        <v>72</v>
      </c>
      <c r="X30" s="152"/>
      <c r="Y30" s="152"/>
      <c r="AA30" s="152" t="s">
        <v>73</v>
      </c>
      <c r="AB30" s="152"/>
      <c r="AC30" s="152"/>
      <c r="AD30" s="77"/>
      <c r="AE30" s="152" t="s">
        <v>74</v>
      </c>
      <c r="AF30" s="152"/>
      <c r="AG30" s="152"/>
      <c r="AI30" s="63"/>
      <c r="AJ30" s="63"/>
      <c r="AK30" s="63"/>
    </row>
    <row r="31" spans="1:79" ht="17.25" customHeight="1" x14ac:dyDescent="0.15">
      <c r="A31" s="78"/>
      <c r="B31" s="11"/>
      <c r="C31" s="77"/>
      <c r="D31" s="77" t="s">
        <v>1</v>
      </c>
      <c r="E31" s="153">
        <f>ROUNDDOWN(SUMPRODUCT($T$38:$T$45,$E$38:$E$45,$AC$38:$AC$45),0)</f>
        <v>0</v>
      </c>
      <c r="F31" s="153"/>
      <c r="G31" s="153"/>
      <c r="H31" s="153">
        <f>ROUNDDOWN(ROUNDDOWN(SUMPRODUCT($T$38:$T$45,$E$38:$E$45,$AC$38:$AC$45),0)*E3%,0)</f>
        <v>0</v>
      </c>
      <c r="I31" s="153"/>
      <c r="J31" s="153"/>
      <c r="K31" s="153" t="e">
        <f>K68+K74+K81+K87+K93+K99+K105+K111</f>
        <v>#VALUE!</v>
      </c>
      <c r="L31" s="153"/>
      <c r="M31" s="153"/>
      <c r="N31" s="153">
        <f>ROUNDDOWN(MAX(E38:E45)*M3/12,0)</f>
        <v>0</v>
      </c>
      <c r="O31" s="153"/>
      <c r="P31" s="153"/>
      <c r="Q31" s="153" t="str">
        <f>IF($AC$37=0,"軽減なし",$AC$37&amp;"割軽減")</f>
        <v>7割軽減</v>
      </c>
      <c r="R31" s="153"/>
      <c r="S31" s="153"/>
      <c r="T31" s="153" t="e">
        <f>T68+T74+T81+T87+T93+T99+T105+T111</f>
        <v>#VALUE!</v>
      </c>
      <c r="U31" s="153"/>
      <c r="V31" s="153"/>
      <c r="W31" s="153">
        <f>ROUNDDOWN(N31*$AE$37,0)</f>
        <v>0</v>
      </c>
      <c r="X31" s="153"/>
      <c r="Y31" s="153"/>
      <c r="Z31" s="76" t="s">
        <v>0</v>
      </c>
      <c r="AA31" s="153" t="e">
        <f>SUM(K31:P31,H31)-SUM(T31:Y31)</f>
        <v>#VALUE!</v>
      </c>
      <c r="AB31" s="153"/>
      <c r="AC31" s="153"/>
      <c r="AD31" s="76" t="s">
        <v>8</v>
      </c>
      <c r="AE31" s="153" t="e">
        <f>IF(AA31&gt;Q3/12*MAX(E38:F45),ROUNDDOWN(Q3/12*MAX(E38:F45),0),ROUNDDOWN(AA31,-2))</f>
        <v>#VALUE!</v>
      </c>
      <c r="AF31" s="153"/>
      <c r="AG31" s="153"/>
      <c r="AI31" s="64"/>
      <c r="AJ31" s="63"/>
      <c r="AK31" s="63"/>
    </row>
    <row r="32" spans="1:79" ht="17.25" customHeight="1" x14ac:dyDescent="0.15">
      <c r="A32" s="78"/>
      <c r="B32" s="11"/>
      <c r="C32" s="77"/>
      <c r="D32" s="77" t="s">
        <v>2</v>
      </c>
      <c r="E32" s="153">
        <f>ROUNDDOWN(SUMPRODUCT($T$38:$T$45,$E$38:$E$45,$AC$38:$AC$45),0)</f>
        <v>0</v>
      </c>
      <c r="F32" s="153"/>
      <c r="G32" s="153"/>
      <c r="H32" s="153">
        <f>ROUNDDOWN(ROUNDDOWN(SUMPRODUCT($T$38:$T$45,$E$38:$E$45,$AC$38:$AC$45),0)*E4%,0)</f>
        <v>0</v>
      </c>
      <c r="I32" s="153"/>
      <c r="J32" s="153"/>
      <c r="K32" s="153" t="e">
        <f t="shared" ref="K32:K33" si="1">K69+K75+K82+K88+K94+K100+K106+K112</f>
        <v>#VALUE!</v>
      </c>
      <c r="L32" s="153"/>
      <c r="M32" s="153"/>
      <c r="N32" s="153">
        <f>ROUNDDOWN(MAX(E38:E45)*M4/12,0)</f>
        <v>0</v>
      </c>
      <c r="O32" s="153"/>
      <c r="P32" s="153"/>
      <c r="Q32" s="153" t="str">
        <f>IF($AC$37=0,"軽減なし",$AC$37&amp;"割軽減")</f>
        <v>7割軽減</v>
      </c>
      <c r="R32" s="153"/>
      <c r="S32" s="153"/>
      <c r="T32" s="153" t="e">
        <f t="shared" ref="T32:T33" si="2">T69+T75+T82+T88+T94+T100+T106+T112</f>
        <v>#VALUE!</v>
      </c>
      <c r="U32" s="153"/>
      <c r="V32" s="153"/>
      <c r="W32" s="153">
        <f>ROUNDDOWN(N32*$AE$37,0)</f>
        <v>0</v>
      </c>
      <c r="X32" s="153"/>
      <c r="Y32" s="153"/>
      <c r="Z32" s="76" t="s">
        <v>0</v>
      </c>
      <c r="AA32" s="153" t="e">
        <f>SUM(K32:P32,H32)-SUM(T32:Y32)</f>
        <v>#VALUE!</v>
      </c>
      <c r="AB32" s="153"/>
      <c r="AC32" s="153"/>
      <c r="AD32" s="76" t="s">
        <v>8</v>
      </c>
      <c r="AE32" s="153" t="e">
        <f>IF(AA32&gt;Q4/12*MAX(E38:F45),ROUNDDOWN(Q4/12*MAX(E38:F45),0),ROUNDDOWN(AA32,-2))</f>
        <v>#VALUE!</v>
      </c>
      <c r="AF32" s="153"/>
      <c r="AG32" s="153"/>
      <c r="AI32" s="64"/>
      <c r="AJ32" s="63"/>
      <c r="AK32" s="63"/>
    </row>
    <row r="33" spans="1:79" ht="17.25" customHeight="1" thickBot="1" x14ac:dyDescent="0.2">
      <c r="A33" s="78"/>
      <c r="B33" s="11"/>
      <c r="C33" s="77"/>
      <c r="D33" s="77" t="s">
        <v>3</v>
      </c>
      <c r="E33" s="153">
        <f>ROUNDDOWN(SUMPRODUCT($T$38:$T$45,$G$38:$G$45,$AC$38:$AC$45),0)</f>
        <v>0</v>
      </c>
      <c r="F33" s="153"/>
      <c r="G33" s="153"/>
      <c r="H33" s="153">
        <f>ROUNDDOWN(ROUNDDOWN(SUMPRODUCT($T$38:$T$45,$G$38:$G$45,$AC$38:$AC$45),0)*E5%,0)</f>
        <v>0</v>
      </c>
      <c r="I33" s="153"/>
      <c r="J33" s="153"/>
      <c r="K33" s="153" t="e">
        <f t="shared" si="1"/>
        <v>#VALUE!</v>
      </c>
      <c r="L33" s="153"/>
      <c r="M33" s="153"/>
      <c r="N33" s="153" t="e">
        <f>IF(K33=0,0,M5)</f>
        <v>#VALUE!</v>
      </c>
      <c r="O33" s="153"/>
      <c r="P33" s="153"/>
      <c r="Q33" s="153" t="str">
        <f>IF($AC$37=0,"軽減なし",$AC$37&amp;"割軽減")</f>
        <v>7割軽減</v>
      </c>
      <c r="R33" s="153"/>
      <c r="S33" s="153"/>
      <c r="T33" s="153" t="e">
        <f t="shared" si="2"/>
        <v>#VALUE!</v>
      </c>
      <c r="U33" s="153"/>
      <c r="V33" s="153"/>
      <c r="W33" s="153" t="e">
        <f>ROUNDDOWN(N33*$AE$37,0)</f>
        <v>#VALUE!</v>
      </c>
      <c r="X33" s="153"/>
      <c r="Y33" s="153"/>
      <c r="Z33" s="76" t="s">
        <v>0</v>
      </c>
      <c r="AA33" s="153" t="e">
        <f>SUM(K33:P33,H33)-SUM(T33:Y33)</f>
        <v>#VALUE!</v>
      </c>
      <c r="AB33" s="153"/>
      <c r="AC33" s="153"/>
      <c r="AD33" s="76" t="s">
        <v>8</v>
      </c>
      <c r="AE33" s="153" t="e">
        <f>IF(AA33&gt;Q5/12*MAX(G38:H45),ROUNDDOWN(Q5/12*MAX(G38:H45),0),ROUNDDOWN(AA33,-2))</f>
        <v>#VALUE!</v>
      </c>
      <c r="AF33" s="153"/>
      <c r="AG33" s="153"/>
      <c r="AI33" s="64"/>
      <c r="AJ33" s="63"/>
      <c r="AK33" s="63"/>
    </row>
    <row r="34" spans="1:79" ht="31.5" customHeight="1" thickBot="1" x14ac:dyDescent="0.2">
      <c r="A34" s="78"/>
      <c r="B34" s="77"/>
      <c r="C34" s="77"/>
      <c r="D34" s="77"/>
      <c r="E34" s="77"/>
      <c r="F34" s="77"/>
      <c r="G34" s="77"/>
      <c r="H34" s="77"/>
      <c r="I34" s="77"/>
      <c r="J34" s="77"/>
      <c r="K34" s="77"/>
      <c r="L34" s="77"/>
      <c r="M34" s="77"/>
      <c r="N34" s="77"/>
      <c r="O34" s="6"/>
      <c r="P34" s="6"/>
      <c r="Q34" s="6"/>
      <c r="R34" s="6"/>
      <c r="S34" s="6"/>
      <c r="AA34" s="164" t="s">
        <v>23</v>
      </c>
      <c r="AB34" s="165"/>
      <c r="AC34" s="165"/>
      <c r="AD34" s="28"/>
      <c r="AE34" s="166" t="e">
        <f>SUM(AE31:AG33)</f>
        <v>#VALUE!</v>
      </c>
      <c r="AF34" s="167"/>
      <c r="AG34" s="168"/>
      <c r="AH34" s="29"/>
      <c r="AI34" s="64"/>
      <c r="AJ34" s="63"/>
      <c r="AK34" s="63"/>
      <c r="AL34" s="30"/>
      <c r="AM34" s="30"/>
      <c r="AO34" s="64"/>
      <c r="AP34" s="63"/>
      <c r="AQ34" s="63"/>
    </row>
    <row r="35" spans="1:79" x14ac:dyDescent="0.15">
      <c r="A35" s="78"/>
      <c r="B35" s="78"/>
      <c r="C35" s="78"/>
      <c r="D35" s="78"/>
      <c r="E35" s="78"/>
      <c r="F35" s="78"/>
      <c r="G35" s="78"/>
      <c r="AK35" s="8"/>
      <c r="AN35" s="6"/>
      <c r="AO35" s="6"/>
      <c r="AP35" s="6"/>
    </row>
    <row r="36" spans="1:79" x14ac:dyDescent="0.15">
      <c r="A36" s="78"/>
      <c r="B36" s="78"/>
      <c r="C36" s="78"/>
      <c r="D36" s="78"/>
      <c r="E36" s="78"/>
      <c r="F36" s="78"/>
      <c r="G36" s="78"/>
      <c r="AI36" s="2" t="s">
        <v>91</v>
      </c>
      <c r="AN36" s="6"/>
      <c r="AO36" s="6"/>
      <c r="AP36" s="6"/>
    </row>
    <row r="37" spans="1:79" s="52" customFormat="1" ht="35.25" customHeight="1" x14ac:dyDescent="0.15">
      <c r="A37" s="42"/>
      <c r="B37" s="169" t="s">
        <v>19</v>
      </c>
      <c r="D37" s="61" t="s">
        <v>50</v>
      </c>
      <c r="E37" s="171" t="s">
        <v>11</v>
      </c>
      <c r="F37" s="172"/>
      <c r="G37" s="171" t="s">
        <v>12</v>
      </c>
      <c r="H37" s="172"/>
      <c r="I37" s="173" t="s">
        <v>16</v>
      </c>
      <c r="J37" s="174"/>
      <c r="K37" s="175" t="s">
        <v>67</v>
      </c>
      <c r="L37" s="172"/>
      <c r="M37" s="176" t="s">
        <v>66</v>
      </c>
      <c r="N37" s="177"/>
      <c r="O37" s="177"/>
      <c r="P37" s="178"/>
      <c r="Q37" s="157" t="s">
        <v>17</v>
      </c>
      <c r="R37" s="158"/>
      <c r="S37" s="159"/>
      <c r="T37" s="160" t="s">
        <v>68</v>
      </c>
      <c r="U37" s="161"/>
      <c r="V37" s="161"/>
      <c r="W37" s="162"/>
      <c r="X37" s="163" t="s">
        <v>69</v>
      </c>
      <c r="Y37" s="163"/>
      <c r="Z37" s="163"/>
      <c r="AC37" s="27">
        <f>IF(B39=1,0,IF(Q38&lt;=AG50,7,IF(Q38&lt;=AG51,5,IF(Q38&lt;=AG52,2,0))))</f>
        <v>7</v>
      </c>
      <c r="AD37" s="55">
        <f>AC37/10</f>
        <v>0.7</v>
      </c>
      <c r="AE37" s="55">
        <f>AD37</f>
        <v>0.7</v>
      </c>
      <c r="AF37" s="54"/>
      <c r="AG37" s="56"/>
      <c r="AH37" s="27">
        <f>IF(B39=1,0,IF(Q38&lt;=AG50,7,IF(Q38&lt;=AG51,5,IF(Q38&lt;=AG52,2,0))))</f>
        <v>7</v>
      </c>
      <c r="AI37" s="55">
        <f>AH37/10</f>
        <v>0.7</v>
      </c>
      <c r="AJ37" s="55">
        <f>AI37</f>
        <v>0.7</v>
      </c>
      <c r="AK37" s="54"/>
      <c r="AS37" s="93" t="s">
        <v>36</v>
      </c>
      <c r="AT37" s="94"/>
      <c r="AU37" s="94"/>
      <c r="AV37" s="94"/>
      <c r="AW37" s="94"/>
      <c r="AX37" s="94"/>
      <c r="AY37" s="94"/>
      <c r="AZ37" s="94"/>
      <c r="BA37" s="94"/>
      <c r="BB37" s="94"/>
      <c r="BC37" s="95"/>
      <c r="BD37"/>
      <c r="BE37" s="51"/>
      <c r="BF37" s="93" t="s">
        <v>47</v>
      </c>
      <c r="BG37" s="94"/>
      <c r="BH37" s="94"/>
      <c r="BI37" s="94"/>
      <c r="BJ37" s="94"/>
      <c r="BK37" s="94"/>
      <c r="BL37" s="94"/>
      <c r="BM37" s="94"/>
      <c r="BN37" s="94"/>
      <c r="BO37" s="95"/>
      <c r="BP37" s="69"/>
      <c r="BQ37" s="51"/>
      <c r="BR37" s="93" t="s">
        <v>46</v>
      </c>
      <c r="BS37" s="94"/>
      <c r="BT37" s="94"/>
      <c r="BU37" s="94"/>
      <c r="BV37" s="94"/>
      <c r="BW37" s="94"/>
      <c r="BX37" s="94"/>
      <c r="BY37" s="94"/>
      <c r="BZ37" s="94"/>
      <c r="CA37" s="95"/>
    </row>
    <row r="38" spans="1:79" s="52" customFormat="1" x14ac:dyDescent="0.15">
      <c r="A38" s="42"/>
      <c r="B38" s="170"/>
      <c r="C38" s="66">
        <v>1</v>
      </c>
      <c r="D38" s="62" t="str">
        <f t="shared" ref="D38:D45" si="3">IF(B21="","",B21)</f>
        <v/>
      </c>
      <c r="E38" s="180" t="str">
        <f>IF(B21=$AM$39,0,IF(B21="","",12))</f>
        <v/>
      </c>
      <c r="F38" s="181"/>
      <c r="G38" s="180" t="str">
        <f>IF(B21=$AM$39,0,IF(B21="","",IF(AND(E21&gt;=40,E21&lt;65),12,0)))</f>
        <v/>
      </c>
      <c r="H38" s="181"/>
      <c r="I38" s="182" t="str">
        <f t="shared" ref="I38:I45" si="4">IF(B21="","",1)</f>
        <v/>
      </c>
      <c r="J38" s="182"/>
      <c r="K38" s="180">
        <f t="shared" ref="K38:K45" si="5">IF(F21&gt;550000,1,IF(AND(D21&lt;65,J21&gt;600000),1,IF(AND(D21&gt;=65,J21&gt;1250000),1,0)))</f>
        <v>0</v>
      </c>
      <c r="L38" s="181"/>
      <c r="M38" s="189">
        <f>AX24+AX28+N21</f>
        <v>0</v>
      </c>
      <c r="N38" s="190"/>
      <c r="O38" s="190"/>
      <c r="P38" s="191"/>
      <c r="Q38" s="192">
        <f>SUM(M38:M45)</f>
        <v>0</v>
      </c>
      <c r="R38" s="193"/>
      <c r="S38" s="194"/>
      <c r="T38" s="183">
        <f t="shared" ref="T38:T45" si="6">IF(B21="擬主",0,IF(R21&lt;430000,0,R21-430000))</f>
        <v>0</v>
      </c>
      <c r="U38" s="184"/>
      <c r="V38" s="184"/>
      <c r="W38" s="185"/>
      <c r="X38" s="186">
        <f>AX26+N21</f>
        <v>0</v>
      </c>
      <c r="Y38" s="187"/>
      <c r="Z38" s="188"/>
      <c r="AC38" s="53">
        <f>1/12</f>
        <v>8.3333333333333329E-2</v>
      </c>
      <c r="AD38" s="57">
        <f>$I$3</f>
        <v>21000</v>
      </c>
      <c r="AE38" s="57">
        <f>$I$4</f>
        <v>8100</v>
      </c>
      <c r="AF38" s="57">
        <f t="shared" ref="AF38:AF45" si="7">$I$5</f>
        <v>9100</v>
      </c>
      <c r="AG38" s="56"/>
      <c r="AH38" s="53">
        <f>1/12</f>
        <v>8.3333333333333329E-2</v>
      </c>
      <c r="AI38" s="57">
        <f>$I$3/2</f>
        <v>10500</v>
      </c>
      <c r="AJ38" s="57">
        <f t="shared" ref="AJ38:AJ45" si="8">$I$4/2</f>
        <v>4050</v>
      </c>
      <c r="AK38" s="57">
        <f t="shared" ref="AK38:AK45" si="9">$I$5</f>
        <v>9100</v>
      </c>
      <c r="AM38" s="52" t="s">
        <v>24</v>
      </c>
      <c r="AO38" s="52" t="s">
        <v>89</v>
      </c>
      <c r="AS38" s="91"/>
      <c r="AT38" s="89" t="s">
        <v>38</v>
      </c>
      <c r="AU38" s="89"/>
      <c r="AV38" s="89"/>
      <c r="AW38" s="89"/>
      <c r="AX38" s="89"/>
      <c r="AY38" s="89"/>
      <c r="AZ38" s="89"/>
      <c r="BA38" s="89" t="s">
        <v>39</v>
      </c>
      <c r="BB38" s="89"/>
      <c r="BC38" s="89"/>
      <c r="BD38"/>
      <c r="BE38" s="91"/>
      <c r="BF38" s="89" t="s">
        <v>38</v>
      </c>
      <c r="BG38" s="89"/>
      <c r="BH38" s="89"/>
      <c r="BI38" s="89"/>
      <c r="BJ38" s="89"/>
      <c r="BK38" s="89"/>
      <c r="BL38" s="89"/>
      <c r="BM38" s="89" t="s">
        <v>39</v>
      </c>
      <c r="BN38" s="89"/>
      <c r="BO38" s="89"/>
      <c r="BP38" s="48"/>
      <c r="BQ38" s="91"/>
      <c r="BR38" s="89" t="s">
        <v>38</v>
      </c>
      <c r="BS38" s="89"/>
      <c r="BT38" s="89"/>
      <c r="BU38" s="89"/>
      <c r="BV38" s="89"/>
      <c r="BW38" s="89"/>
      <c r="BX38" s="89"/>
      <c r="BY38" s="89" t="s">
        <v>39</v>
      </c>
      <c r="BZ38" s="89"/>
      <c r="CA38" s="89"/>
    </row>
    <row r="39" spans="1:79" s="52" customFormat="1" x14ac:dyDescent="0.15">
      <c r="A39" s="42"/>
      <c r="B39" s="179"/>
      <c r="C39" s="66">
        <v>2</v>
      </c>
      <c r="D39" s="62" t="str">
        <f t="shared" si="3"/>
        <v/>
      </c>
      <c r="E39" s="180" t="str">
        <f t="shared" ref="E39:E45" si="10">IF(B22="","",12)</f>
        <v/>
      </c>
      <c r="F39" s="181"/>
      <c r="G39" s="180" t="str">
        <f>IF(B22="","",IF(AND(E22&gt;=40,E22&lt;65),12,0))</f>
        <v/>
      </c>
      <c r="H39" s="181"/>
      <c r="I39" s="182" t="str">
        <f t="shared" si="4"/>
        <v/>
      </c>
      <c r="J39" s="182"/>
      <c r="K39" s="180">
        <f t="shared" si="5"/>
        <v>0</v>
      </c>
      <c r="L39" s="181"/>
      <c r="M39" s="189">
        <f>AX58+AX62+N22</f>
        <v>0</v>
      </c>
      <c r="N39" s="190"/>
      <c r="O39" s="190"/>
      <c r="P39" s="191"/>
      <c r="Q39" s="195"/>
      <c r="R39" s="196"/>
      <c r="S39" s="197"/>
      <c r="T39" s="183">
        <f t="shared" si="6"/>
        <v>0</v>
      </c>
      <c r="U39" s="184"/>
      <c r="V39" s="184"/>
      <c r="W39" s="185"/>
      <c r="X39" s="186">
        <f>AX60+N22</f>
        <v>0</v>
      </c>
      <c r="Y39" s="187"/>
      <c r="Z39" s="188"/>
      <c r="AC39" s="53">
        <f>1/12</f>
        <v>8.3333333333333329E-2</v>
      </c>
      <c r="AD39" s="57">
        <f>$I$3</f>
        <v>21000</v>
      </c>
      <c r="AE39" s="57">
        <f t="shared" ref="AE39:AE45" si="11">$I$4</f>
        <v>8100</v>
      </c>
      <c r="AF39" s="57">
        <f t="shared" si="7"/>
        <v>9100</v>
      </c>
      <c r="AG39" s="56"/>
      <c r="AH39" s="53">
        <f>1/12</f>
        <v>8.3333333333333329E-2</v>
      </c>
      <c r="AI39" s="57">
        <f t="shared" ref="AI39:AI45" si="12">$I$3/2</f>
        <v>10500</v>
      </c>
      <c r="AJ39" s="57">
        <f t="shared" si="8"/>
        <v>4050</v>
      </c>
      <c r="AK39" s="57">
        <f t="shared" si="9"/>
        <v>9100</v>
      </c>
      <c r="AM39" s="52" t="s">
        <v>18</v>
      </c>
      <c r="AS39" s="92"/>
      <c r="AT39" s="90"/>
      <c r="AU39" s="90"/>
      <c r="AV39" s="90"/>
      <c r="AW39" s="90"/>
      <c r="AX39" s="90"/>
      <c r="AY39" s="90"/>
      <c r="AZ39" s="90"/>
      <c r="BA39" s="90"/>
      <c r="BB39" s="90"/>
      <c r="BC39" s="90"/>
      <c r="BD39"/>
      <c r="BE39" s="92"/>
      <c r="BF39" s="90"/>
      <c r="BG39" s="90"/>
      <c r="BH39" s="90"/>
      <c r="BI39" s="90"/>
      <c r="BJ39" s="90"/>
      <c r="BK39" s="90"/>
      <c r="BL39" s="90"/>
      <c r="BM39" s="90"/>
      <c r="BN39" s="90"/>
      <c r="BO39" s="90"/>
      <c r="BP39" s="77"/>
      <c r="BQ39" s="92"/>
      <c r="BR39" s="90"/>
      <c r="BS39" s="90"/>
      <c r="BT39" s="90"/>
      <c r="BU39" s="90"/>
      <c r="BV39" s="90"/>
      <c r="BW39" s="90"/>
      <c r="BX39" s="90"/>
      <c r="BY39" s="90"/>
      <c r="BZ39" s="90"/>
      <c r="CA39" s="90"/>
    </row>
    <row r="40" spans="1:79" s="52" customFormat="1" ht="18" customHeight="1" x14ac:dyDescent="0.15">
      <c r="A40" s="42"/>
      <c r="B40" s="179"/>
      <c r="C40" s="67">
        <v>3</v>
      </c>
      <c r="D40" s="62" t="str">
        <f t="shared" si="3"/>
        <v/>
      </c>
      <c r="E40" s="180" t="str">
        <f t="shared" si="10"/>
        <v/>
      </c>
      <c r="F40" s="181"/>
      <c r="G40" s="180" t="str">
        <f t="shared" ref="G40:G45" si="13">IF(B23="","",IF(AND(E23&gt;=40,E23&lt;65),12,0))</f>
        <v/>
      </c>
      <c r="H40" s="181"/>
      <c r="I40" s="182" t="str">
        <f t="shared" si="4"/>
        <v/>
      </c>
      <c r="J40" s="182"/>
      <c r="K40" s="180">
        <f t="shared" si="5"/>
        <v>0</v>
      </c>
      <c r="L40" s="181"/>
      <c r="M40" s="189">
        <f>AX86+AX90+N23</f>
        <v>0</v>
      </c>
      <c r="N40" s="190"/>
      <c r="O40" s="190"/>
      <c r="P40" s="191"/>
      <c r="Q40" s="195"/>
      <c r="R40" s="196"/>
      <c r="S40" s="197"/>
      <c r="T40" s="183">
        <f t="shared" si="6"/>
        <v>0</v>
      </c>
      <c r="U40" s="184"/>
      <c r="V40" s="184"/>
      <c r="W40" s="185"/>
      <c r="X40" s="186">
        <f>AX88+N23</f>
        <v>0</v>
      </c>
      <c r="Y40" s="187"/>
      <c r="Z40" s="188"/>
      <c r="AA40" s="53"/>
      <c r="AB40" s="53"/>
      <c r="AC40" s="53">
        <f t="shared" ref="AC40:AC42" si="14">1/12</f>
        <v>8.3333333333333329E-2</v>
      </c>
      <c r="AD40" s="57">
        <f t="shared" ref="AD40:AD45" si="15">$I$3</f>
        <v>21000</v>
      </c>
      <c r="AE40" s="57">
        <f t="shared" si="11"/>
        <v>8100</v>
      </c>
      <c r="AF40" s="57">
        <f t="shared" si="7"/>
        <v>9100</v>
      </c>
      <c r="AG40" s="56"/>
      <c r="AH40" s="53">
        <f t="shared" ref="AH40:AH42" si="16">1/12</f>
        <v>8.3333333333333329E-2</v>
      </c>
      <c r="AI40" s="57">
        <f t="shared" si="12"/>
        <v>10500</v>
      </c>
      <c r="AJ40" s="57">
        <f t="shared" si="8"/>
        <v>4050</v>
      </c>
      <c r="AK40" s="57">
        <f t="shared" si="9"/>
        <v>9100</v>
      </c>
      <c r="AS40" s="41">
        <f t="shared" ref="AS40:AS49" si="17">IF(AND($AX$52&gt;=AT40,$AX$52&lt;=AX40),1,0)</f>
        <v>1</v>
      </c>
      <c r="AT40" s="87">
        <v>0</v>
      </c>
      <c r="AU40" s="87"/>
      <c r="AV40" s="87"/>
      <c r="AW40" s="79" t="s">
        <v>37</v>
      </c>
      <c r="AX40" s="87">
        <v>550999</v>
      </c>
      <c r="AY40" s="87"/>
      <c r="AZ40" s="87"/>
      <c r="BA40" s="88">
        <f>IF(AS40=1,0,0)</f>
        <v>0</v>
      </c>
      <c r="BB40" s="88"/>
      <c r="BC40" s="88"/>
      <c r="BD40"/>
      <c r="BE40" s="41">
        <f>IF(AND($BJ$52&gt;=BF40,$BJ$52&lt;=BJ40,$BL$56&lt;=10000000),1,(IF(AND($BJ$52&gt;=BF40,$BJ$52&lt;=BJ40,$BL$56&gt;10000000,$BL$56&lt;=20000000),2,(IF(AND($BJ$52&gt;=BF40,$BJ$52&lt;=BJ40,$BL$56&gt;20000000),3,0)))))</f>
        <v>1</v>
      </c>
      <c r="BF40" s="87">
        <v>0</v>
      </c>
      <c r="BG40" s="87"/>
      <c r="BH40" s="87"/>
      <c r="BI40" s="79" t="s">
        <v>37</v>
      </c>
      <c r="BJ40" s="87">
        <v>1299999</v>
      </c>
      <c r="BK40" s="87"/>
      <c r="BL40" s="87"/>
      <c r="BM40" s="88">
        <f>MAX(IF(BE40=1,BJ52-600000,IF(BE40=2,BJ52-500000,IF(BE40=3,BJ52-400000,0))),)</f>
        <v>0</v>
      </c>
      <c r="BN40" s="88"/>
      <c r="BO40" s="88"/>
      <c r="BP40" s="49"/>
      <c r="BQ40" s="41">
        <f>IF(AND($BV$52&gt;=BR40,$BV$52&lt;=BV40,$BX$56&lt;=10000000),1,(IF(AND($BV$52&gt;=BR40,$BV$52&lt;=BV40,$BX$56&gt;10000000,$BX$56&lt;=20000000),2,(IF(AND($BV$52&gt;=BR40,$BV$52&lt;=BV40,$BX$56&gt;20000000),3,0)))))</f>
        <v>1</v>
      </c>
      <c r="BR40" s="87">
        <v>0</v>
      </c>
      <c r="BS40" s="87"/>
      <c r="BT40" s="87"/>
      <c r="BU40" s="79" t="s">
        <v>37</v>
      </c>
      <c r="BV40" s="87">
        <v>3299999</v>
      </c>
      <c r="BW40" s="87"/>
      <c r="BX40" s="87"/>
      <c r="BY40" s="88">
        <f>MAX(IF(BQ40=1,BV52-1100000,IF(BQ40=2,BV52-1000000,IF(BQ40=3,BV52-900000,0))),)</f>
        <v>0</v>
      </c>
      <c r="BZ40" s="88"/>
      <c r="CA40" s="88"/>
    </row>
    <row r="41" spans="1:79" s="52" customFormat="1" ht="18" customHeight="1" x14ac:dyDescent="0.15">
      <c r="A41" s="42"/>
      <c r="B41" s="42"/>
      <c r="C41" s="67">
        <v>4</v>
      </c>
      <c r="D41" s="62" t="str">
        <f t="shared" si="3"/>
        <v/>
      </c>
      <c r="E41" s="180" t="str">
        <f t="shared" si="10"/>
        <v/>
      </c>
      <c r="F41" s="181"/>
      <c r="G41" s="180" t="str">
        <f t="shared" si="13"/>
        <v/>
      </c>
      <c r="H41" s="181"/>
      <c r="I41" s="182" t="str">
        <f t="shared" si="4"/>
        <v/>
      </c>
      <c r="J41" s="182"/>
      <c r="K41" s="180">
        <f t="shared" si="5"/>
        <v>0</v>
      </c>
      <c r="L41" s="181"/>
      <c r="M41" s="189">
        <f>AX113+AX117+N24</f>
        <v>0</v>
      </c>
      <c r="N41" s="190"/>
      <c r="O41" s="190"/>
      <c r="P41" s="191"/>
      <c r="Q41" s="195"/>
      <c r="R41" s="196"/>
      <c r="S41" s="197"/>
      <c r="T41" s="183">
        <f t="shared" si="6"/>
        <v>0</v>
      </c>
      <c r="U41" s="184"/>
      <c r="V41" s="184"/>
      <c r="W41" s="185"/>
      <c r="X41" s="186">
        <f>AX115+N24</f>
        <v>0</v>
      </c>
      <c r="Y41" s="187"/>
      <c r="Z41" s="188"/>
      <c r="AA41" s="53"/>
      <c r="AB41" s="53"/>
      <c r="AC41" s="53">
        <f t="shared" si="14"/>
        <v>8.3333333333333329E-2</v>
      </c>
      <c r="AD41" s="57">
        <f t="shared" si="15"/>
        <v>21000</v>
      </c>
      <c r="AE41" s="57">
        <f t="shared" si="11"/>
        <v>8100</v>
      </c>
      <c r="AF41" s="57">
        <f t="shared" si="7"/>
        <v>9100</v>
      </c>
      <c r="AG41" s="56"/>
      <c r="AH41" s="53">
        <f t="shared" si="16"/>
        <v>8.3333333333333329E-2</v>
      </c>
      <c r="AI41" s="57">
        <f t="shared" si="12"/>
        <v>10500</v>
      </c>
      <c r="AJ41" s="57">
        <f t="shared" si="8"/>
        <v>4050</v>
      </c>
      <c r="AK41" s="57">
        <f t="shared" si="9"/>
        <v>9100</v>
      </c>
      <c r="AS41" s="41">
        <f t="shared" si="17"/>
        <v>0</v>
      </c>
      <c r="AT41" s="87">
        <v>551000</v>
      </c>
      <c r="AU41" s="87"/>
      <c r="AV41" s="87"/>
      <c r="AW41" s="79" t="s">
        <v>37</v>
      </c>
      <c r="AX41" s="87">
        <v>1618999</v>
      </c>
      <c r="AY41" s="87"/>
      <c r="AZ41" s="87"/>
      <c r="BA41" s="88">
        <f>IF(AS41=1,AX52-550000,0)</f>
        <v>0</v>
      </c>
      <c r="BB41" s="88"/>
      <c r="BC41" s="88"/>
      <c r="BD41"/>
      <c r="BE41" s="41">
        <f t="shared" ref="BE41:BE43" si="18">IF(AND($BJ$52&gt;=BF41,$BJ$52&lt;=BJ41,$BL$56&lt;=10000000),1,(IF(AND($BJ$52&gt;=BF41,$BJ$52&lt;=BJ41,$BL$56&gt;10000000,$BL$56&lt;=20000000),2,(IF(AND($BJ$52&gt;=BF41,$BJ$52&lt;=BJ41,$BL$56&gt;20000000),3,0)))))</f>
        <v>0</v>
      </c>
      <c r="BF41" s="87">
        <v>1300000</v>
      </c>
      <c r="BG41" s="87"/>
      <c r="BH41" s="87"/>
      <c r="BI41" s="79" t="s">
        <v>37</v>
      </c>
      <c r="BJ41" s="87">
        <v>4099999</v>
      </c>
      <c r="BK41" s="87"/>
      <c r="BL41" s="87"/>
      <c r="BM41" s="88">
        <f>IF(BE41=1,BJ52*0.75-275000,IF(BE41=2,BJ52*0.75-175000,IF(BE41=3,BJ52*0.75-75000,0)))</f>
        <v>0</v>
      </c>
      <c r="BN41" s="88"/>
      <c r="BO41" s="88"/>
      <c r="BP41" s="49"/>
      <c r="BQ41" s="41">
        <f t="shared" ref="BQ41:BQ43" si="19">IF(AND($BV$52&gt;=BR41,$BV$52&lt;=BV41,$BX$56&lt;=10000000),1,(IF(AND($BV$52&gt;=BR41,$BV$52&lt;=BV41,$BX$56&gt;10000000,$BX$56&lt;=20000000),2,(IF(AND($BV$52&gt;=BR41,$BV$52&lt;=BV41,$BX$56&gt;20000000),3,0)))))</f>
        <v>0</v>
      </c>
      <c r="BR41" s="87">
        <v>3300000</v>
      </c>
      <c r="BS41" s="87"/>
      <c r="BT41" s="87"/>
      <c r="BU41" s="79" t="s">
        <v>37</v>
      </c>
      <c r="BV41" s="87">
        <v>4099999</v>
      </c>
      <c r="BW41" s="87"/>
      <c r="BX41" s="87"/>
      <c r="BY41" s="88">
        <f>IF(BQ41=1,BV52*0.75-275000,IF(BQ41=2,BV52*0.75-175000,IF(BQ41=3,BV52*0.75-75000,0)))</f>
        <v>0</v>
      </c>
      <c r="BZ41" s="88"/>
      <c r="CA41" s="88"/>
    </row>
    <row r="42" spans="1:79" s="52" customFormat="1" ht="18" customHeight="1" x14ac:dyDescent="0.15">
      <c r="A42" s="42"/>
      <c r="B42" s="42"/>
      <c r="C42" s="67">
        <v>5</v>
      </c>
      <c r="D42" s="62" t="str">
        <f t="shared" si="3"/>
        <v/>
      </c>
      <c r="E42" s="180" t="str">
        <f t="shared" si="10"/>
        <v/>
      </c>
      <c r="F42" s="181"/>
      <c r="G42" s="180" t="str">
        <f t="shared" si="13"/>
        <v/>
      </c>
      <c r="H42" s="181"/>
      <c r="I42" s="182" t="str">
        <f t="shared" si="4"/>
        <v/>
      </c>
      <c r="J42" s="182"/>
      <c r="K42" s="180">
        <f t="shared" si="5"/>
        <v>0</v>
      </c>
      <c r="L42" s="181"/>
      <c r="M42" s="189">
        <f>AX140+AX144+N25</f>
        <v>0</v>
      </c>
      <c r="N42" s="190"/>
      <c r="O42" s="190"/>
      <c r="P42" s="191"/>
      <c r="Q42" s="195"/>
      <c r="R42" s="196"/>
      <c r="S42" s="197"/>
      <c r="T42" s="183">
        <f t="shared" si="6"/>
        <v>0</v>
      </c>
      <c r="U42" s="184"/>
      <c r="V42" s="184"/>
      <c r="W42" s="185"/>
      <c r="X42" s="186">
        <f>AX142+N25</f>
        <v>0</v>
      </c>
      <c r="Y42" s="187"/>
      <c r="Z42" s="188"/>
      <c r="AA42" s="53"/>
      <c r="AB42" s="53"/>
      <c r="AC42" s="53">
        <f t="shared" si="14"/>
        <v>8.3333333333333329E-2</v>
      </c>
      <c r="AD42" s="57">
        <f t="shared" si="15"/>
        <v>21000</v>
      </c>
      <c r="AE42" s="57">
        <f t="shared" si="11"/>
        <v>8100</v>
      </c>
      <c r="AF42" s="57">
        <f t="shared" si="7"/>
        <v>9100</v>
      </c>
      <c r="AG42" s="56"/>
      <c r="AH42" s="53">
        <f t="shared" si="16"/>
        <v>8.3333333333333329E-2</v>
      </c>
      <c r="AI42" s="57">
        <f t="shared" si="12"/>
        <v>10500</v>
      </c>
      <c r="AJ42" s="57">
        <f t="shared" si="8"/>
        <v>4050</v>
      </c>
      <c r="AK42" s="57">
        <f t="shared" si="9"/>
        <v>9100</v>
      </c>
      <c r="AS42" s="41">
        <f t="shared" si="17"/>
        <v>0</v>
      </c>
      <c r="AT42" s="87">
        <v>1619000</v>
      </c>
      <c r="AU42" s="87"/>
      <c r="AV42" s="87"/>
      <c r="AW42" s="79" t="s">
        <v>37</v>
      </c>
      <c r="AX42" s="87">
        <v>1619999</v>
      </c>
      <c r="AY42" s="87"/>
      <c r="AZ42" s="87"/>
      <c r="BA42" s="88">
        <f>IF(AS42=1,1069000,0)</f>
        <v>0</v>
      </c>
      <c r="BB42" s="88"/>
      <c r="BC42" s="88"/>
      <c r="BD42"/>
      <c r="BE42" s="41">
        <f t="shared" si="18"/>
        <v>0</v>
      </c>
      <c r="BF42" s="87">
        <v>4100000</v>
      </c>
      <c r="BG42" s="87"/>
      <c r="BH42" s="87"/>
      <c r="BI42" s="79" t="s">
        <v>37</v>
      </c>
      <c r="BJ42" s="87">
        <v>7699999</v>
      </c>
      <c r="BK42" s="87"/>
      <c r="BL42" s="87"/>
      <c r="BM42" s="88">
        <f>IF(BE42=1,BJ52*0.85-685000,IF(BE42=2,BJ52*0.85-585000,IF(BE42=3,BJ52*0.85-485000,0)))</f>
        <v>0</v>
      </c>
      <c r="BN42" s="88"/>
      <c r="BO42" s="88"/>
      <c r="BP42" s="49"/>
      <c r="BQ42" s="41">
        <f t="shared" si="19"/>
        <v>0</v>
      </c>
      <c r="BR42" s="87">
        <v>4100000</v>
      </c>
      <c r="BS42" s="87"/>
      <c r="BT42" s="87"/>
      <c r="BU42" s="79" t="s">
        <v>37</v>
      </c>
      <c r="BV42" s="87">
        <v>7699999</v>
      </c>
      <c r="BW42" s="87"/>
      <c r="BX42" s="87"/>
      <c r="BY42" s="88">
        <f>IF(BQ42=1,BV52*0.85-685000,IF(BQ42=2,BV52*0.85-585000,IF(BQ42=3,BV52*0.85-485000,0)))</f>
        <v>0</v>
      </c>
      <c r="BZ42" s="88"/>
      <c r="CA42" s="88"/>
    </row>
    <row r="43" spans="1:79" s="52" customFormat="1" ht="18" customHeight="1" x14ac:dyDescent="0.15">
      <c r="A43" s="42"/>
      <c r="B43" s="42"/>
      <c r="C43" s="66">
        <v>6</v>
      </c>
      <c r="D43" s="62" t="str">
        <f>IF(B26="","",B26)</f>
        <v/>
      </c>
      <c r="E43" s="180" t="str">
        <f t="shared" si="10"/>
        <v/>
      </c>
      <c r="F43" s="181"/>
      <c r="G43" s="180" t="str">
        <f t="shared" si="13"/>
        <v/>
      </c>
      <c r="H43" s="181"/>
      <c r="I43" s="182" t="str">
        <f t="shared" si="4"/>
        <v/>
      </c>
      <c r="J43" s="182"/>
      <c r="K43" s="180">
        <f t="shared" si="5"/>
        <v>0</v>
      </c>
      <c r="L43" s="181"/>
      <c r="M43" s="189">
        <f>AX167+AX171+N26</f>
        <v>0</v>
      </c>
      <c r="N43" s="190"/>
      <c r="O43" s="190"/>
      <c r="P43" s="191"/>
      <c r="Q43" s="195"/>
      <c r="R43" s="196"/>
      <c r="S43" s="197"/>
      <c r="T43" s="183">
        <f t="shared" si="6"/>
        <v>0</v>
      </c>
      <c r="U43" s="184"/>
      <c r="V43" s="184"/>
      <c r="W43" s="185"/>
      <c r="X43" s="186">
        <f>AX169+N26</f>
        <v>0</v>
      </c>
      <c r="Y43" s="187"/>
      <c r="Z43" s="188"/>
      <c r="AA43" s="53"/>
      <c r="AB43" s="53"/>
      <c r="AC43" s="53">
        <f>1/12</f>
        <v>8.3333333333333329E-2</v>
      </c>
      <c r="AD43" s="57">
        <f t="shared" si="15"/>
        <v>21000</v>
      </c>
      <c r="AE43" s="57">
        <f t="shared" si="11"/>
        <v>8100</v>
      </c>
      <c r="AF43" s="57">
        <f t="shared" si="7"/>
        <v>9100</v>
      </c>
      <c r="AG43" s="56"/>
      <c r="AH43" s="53">
        <f>1/12</f>
        <v>8.3333333333333329E-2</v>
      </c>
      <c r="AI43" s="57">
        <f t="shared" si="12"/>
        <v>10500</v>
      </c>
      <c r="AJ43" s="57">
        <f t="shared" si="8"/>
        <v>4050</v>
      </c>
      <c r="AK43" s="57">
        <f t="shared" si="9"/>
        <v>9100</v>
      </c>
      <c r="AS43" s="41">
        <f t="shared" si="17"/>
        <v>0</v>
      </c>
      <c r="AT43" s="87">
        <v>1620000</v>
      </c>
      <c r="AU43" s="87"/>
      <c r="AV43" s="87"/>
      <c r="AW43" s="79" t="s">
        <v>37</v>
      </c>
      <c r="AX43" s="87">
        <v>1621999</v>
      </c>
      <c r="AY43" s="87"/>
      <c r="AZ43" s="87"/>
      <c r="BA43" s="88">
        <f>IF(AS43=1,1070000,0)</f>
        <v>0</v>
      </c>
      <c r="BB43" s="88"/>
      <c r="BC43" s="88"/>
      <c r="BD43"/>
      <c r="BE43" s="41">
        <f t="shared" si="18"/>
        <v>0</v>
      </c>
      <c r="BF43" s="87">
        <v>7700000</v>
      </c>
      <c r="BG43" s="87"/>
      <c r="BH43" s="87"/>
      <c r="BI43" s="79" t="s">
        <v>37</v>
      </c>
      <c r="BJ43" s="87">
        <v>9999999</v>
      </c>
      <c r="BK43" s="87"/>
      <c r="BL43" s="87"/>
      <c r="BM43" s="88">
        <f>IF(BE43=1,BJ52*0.95-1455000,IF(BE43=2,BJ52*0.95-1355000,IF(BE43=3,BJ52*0.95-1255000,0)))</f>
        <v>0</v>
      </c>
      <c r="BN43" s="88"/>
      <c r="BO43" s="88"/>
      <c r="BP43" s="49"/>
      <c r="BQ43" s="41">
        <f t="shared" si="19"/>
        <v>0</v>
      </c>
      <c r="BR43" s="87">
        <v>7700000</v>
      </c>
      <c r="BS43" s="87"/>
      <c r="BT43" s="87"/>
      <c r="BU43" s="79" t="s">
        <v>37</v>
      </c>
      <c r="BV43" s="87">
        <v>9999999</v>
      </c>
      <c r="BW43" s="87"/>
      <c r="BX43" s="87"/>
      <c r="BY43" s="88">
        <f>IF(BQ43=1,BV52*0.95-1455000,IF(BQ43=2,BV52*0.95-1355000,IF(BQ43=3,BV52*0.95-1255000,0)))</f>
        <v>0</v>
      </c>
      <c r="BZ43" s="88"/>
      <c r="CA43" s="88"/>
    </row>
    <row r="44" spans="1:79" s="52" customFormat="1" x14ac:dyDescent="0.15">
      <c r="A44" s="42"/>
      <c r="B44" s="42"/>
      <c r="C44" s="66">
        <v>7</v>
      </c>
      <c r="D44" s="62" t="str">
        <f t="shared" si="3"/>
        <v/>
      </c>
      <c r="E44" s="180" t="str">
        <f t="shared" si="10"/>
        <v/>
      </c>
      <c r="F44" s="181"/>
      <c r="G44" s="180" t="str">
        <f t="shared" si="13"/>
        <v/>
      </c>
      <c r="H44" s="181"/>
      <c r="I44" s="182" t="str">
        <f t="shared" si="4"/>
        <v/>
      </c>
      <c r="J44" s="182"/>
      <c r="K44" s="180">
        <f t="shared" si="5"/>
        <v>0</v>
      </c>
      <c r="L44" s="181"/>
      <c r="M44" s="189">
        <f>AX194+AX198+N27</f>
        <v>0</v>
      </c>
      <c r="N44" s="190"/>
      <c r="O44" s="190"/>
      <c r="P44" s="191"/>
      <c r="Q44" s="195"/>
      <c r="R44" s="196"/>
      <c r="S44" s="197"/>
      <c r="T44" s="183">
        <f t="shared" si="6"/>
        <v>0</v>
      </c>
      <c r="U44" s="184"/>
      <c r="V44" s="184"/>
      <c r="W44" s="185"/>
      <c r="X44" s="186">
        <f>AX196+N27</f>
        <v>0</v>
      </c>
      <c r="Y44" s="187"/>
      <c r="Z44" s="188"/>
      <c r="AC44" s="53">
        <f t="shared" ref="AC44:AC45" si="20">1/12</f>
        <v>8.3333333333333329E-2</v>
      </c>
      <c r="AD44" s="57">
        <f t="shared" si="15"/>
        <v>21000</v>
      </c>
      <c r="AE44" s="57">
        <f t="shared" si="11"/>
        <v>8100</v>
      </c>
      <c r="AF44" s="57">
        <f t="shared" si="7"/>
        <v>9100</v>
      </c>
      <c r="AG44" s="56"/>
      <c r="AH44" s="53">
        <f t="shared" ref="AH44:AH45" si="21">1/12</f>
        <v>8.3333333333333329E-2</v>
      </c>
      <c r="AI44" s="57">
        <f t="shared" si="12"/>
        <v>10500</v>
      </c>
      <c r="AJ44" s="57">
        <f t="shared" si="8"/>
        <v>4050</v>
      </c>
      <c r="AK44" s="57">
        <f t="shared" si="9"/>
        <v>9100</v>
      </c>
      <c r="AS44" s="41">
        <f t="shared" si="17"/>
        <v>0</v>
      </c>
      <c r="AT44" s="87">
        <v>1622000</v>
      </c>
      <c r="AU44" s="87"/>
      <c r="AV44" s="87"/>
      <c r="AW44" s="79" t="s">
        <v>37</v>
      </c>
      <c r="AX44" s="87">
        <v>1623999</v>
      </c>
      <c r="AY44" s="87"/>
      <c r="AZ44" s="87"/>
      <c r="BA44" s="88">
        <f>IF(AS44=1,1072000,0)</f>
        <v>0</v>
      </c>
      <c r="BB44" s="88"/>
      <c r="BC44" s="88"/>
      <c r="BD44"/>
      <c r="BE44" s="41">
        <f>IF(AND($BJ$52&gt;=BF44,$BL$56&lt;=10000000),1,(IF(AND($BJ$52&gt;=BF44,$BL$56&gt;10000000,$BL$56&lt;=20000000),2,(IF(AND($BJ$52&gt;=BF44,$BL$56&gt;20000000),3,0)))))</f>
        <v>0</v>
      </c>
      <c r="BF44" s="87">
        <v>10000000</v>
      </c>
      <c r="BG44" s="87"/>
      <c r="BH44" s="87"/>
      <c r="BI44" s="79" t="s">
        <v>37</v>
      </c>
      <c r="BJ44" s="87"/>
      <c r="BK44" s="87"/>
      <c r="BL44" s="87"/>
      <c r="BM44" s="88">
        <f>IF(BE44=1,BJ52-1955000,IF(BE44=2,BJ52-1855000,IF(BE44=3,BJ52-1755000,0)))</f>
        <v>0</v>
      </c>
      <c r="BN44" s="88"/>
      <c r="BO44" s="88"/>
      <c r="BP44" s="49"/>
      <c r="BQ44" s="41">
        <f>IF(AND($BV$52&gt;=BR44,$BX$56&lt;=10000000),1,(IF(AND($BV$52&gt;=BR44,$BX$56&gt;10000000,$BX$56&lt;=20000000),2,(IF(AND($BV$52&gt;=BR44,$BX$56&gt;20000000),3,0)))))</f>
        <v>0</v>
      </c>
      <c r="BR44" s="87">
        <v>10000000</v>
      </c>
      <c r="BS44" s="87"/>
      <c r="BT44" s="87"/>
      <c r="BU44" s="79" t="s">
        <v>37</v>
      </c>
      <c r="BV44" s="87"/>
      <c r="BW44" s="87"/>
      <c r="BX44" s="87"/>
      <c r="BY44" s="88">
        <f>IF(BQ44=1,BV52-1955000,IF(BQ44=2,BV52-1855000,IF(BQ44=3,BV52-1755000,0)))</f>
        <v>0</v>
      </c>
      <c r="BZ44" s="88"/>
      <c r="CA44" s="88"/>
    </row>
    <row r="45" spans="1:79" s="52" customFormat="1" x14ac:dyDescent="0.15">
      <c r="A45" s="42"/>
      <c r="B45" s="42"/>
      <c r="C45" s="66">
        <v>8</v>
      </c>
      <c r="D45" s="62" t="str">
        <f t="shared" si="3"/>
        <v/>
      </c>
      <c r="E45" s="180" t="str">
        <f t="shared" si="10"/>
        <v/>
      </c>
      <c r="F45" s="181"/>
      <c r="G45" s="180" t="str">
        <f t="shared" si="13"/>
        <v/>
      </c>
      <c r="H45" s="181"/>
      <c r="I45" s="182" t="str">
        <f t="shared" si="4"/>
        <v/>
      </c>
      <c r="J45" s="182"/>
      <c r="K45" s="180">
        <f t="shared" si="5"/>
        <v>0</v>
      </c>
      <c r="L45" s="181"/>
      <c r="M45" s="189">
        <f>AX221+AX225+N28</f>
        <v>0</v>
      </c>
      <c r="N45" s="190"/>
      <c r="O45" s="190"/>
      <c r="P45" s="191"/>
      <c r="Q45" s="198"/>
      <c r="R45" s="199"/>
      <c r="S45" s="200"/>
      <c r="T45" s="183">
        <f t="shared" si="6"/>
        <v>0</v>
      </c>
      <c r="U45" s="184"/>
      <c r="V45" s="184"/>
      <c r="W45" s="185"/>
      <c r="X45" s="186">
        <f>AX223+N28</f>
        <v>0</v>
      </c>
      <c r="Y45" s="187"/>
      <c r="Z45" s="188"/>
      <c r="AC45" s="53">
        <f t="shared" si="20"/>
        <v>8.3333333333333329E-2</v>
      </c>
      <c r="AD45" s="57">
        <f t="shared" si="15"/>
        <v>21000</v>
      </c>
      <c r="AE45" s="57">
        <f t="shared" si="11"/>
        <v>8100</v>
      </c>
      <c r="AF45" s="57">
        <f t="shared" si="7"/>
        <v>9100</v>
      </c>
      <c r="AG45" s="56"/>
      <c r="AH45" s="53">
        <f t="shared" si="21"/>
        <v>8.3333333333333329E-2</v>
      </c>
      <c r="AI45" s="57">
        <f t="shared" si="12"/>
        <v>10500</v>
      </c>
      <c r="AJ45" s="57">
        <f t="shared" si="8"/>
        <v>4050</v>
      </c>
      <c r="AK45" s="57">
        <f t="shared" si="9"/>
        <v>9100</v>
      </c>
      <c r="AS45" s="41">
        <f t="shared" si="17"/>
        <v>0</v>
      </c>
      <c r="AT45" s="87">
        <v>1624000</v>
      </c>
      <c r="AU45" s="87"/>
      <c r="AV45" s="87"/>
      <c r="AW45" s="79" t="s">
        <v>37</v>
      </c>
      <c r="AX45" s="87">
        <v>1627999</v>
      </c>
      <c r="AY45" s="87"/>
      <c r="AZ45" s="87"/>
      <c r="BA45" s="88">
        <f>IF(AS45=1,1074000,0)</f>
        <v>0</v>
      </c>
      <c r="BB45" s="88"/>
      <c r="BC45" s="88"/>
      <c r="BD45"/>
      <c r="BE45" s="41"/>
      <c r="BF45" s="87"/>
      <c r="BG45" s="87"/>
      <c r="BH45" s="87"/>
      <c r="BI45" s="79" t="s">
        <v>37</v>
      </c>
      <c r="BJ45" s="87"/>
      <c r="BK45" s="87"/>
      <c r="BL45" s="87"/>
      <c r="BM45" s="88"/>
      <c r="BN45" s="88"/>
      <c r="BO45" s="88"/>
      <c r="BP45" s="49"/>
      <c r="BQ45" s="41"/>
      <c r="BR45" s="87"/>
      <c r="BS45" s="87"/>
      <c r="BT45" s="87"/>
      <c r="BU45" s="79" t="s">
        <v>37</v>
      </c>
      <c r="BV45" s="87"/>
      <c r="BW45" s="87"/>
      <c r="BX45" s="87"/>
      <c r="BY45" s="88"/>
      <c r="BZ45" s="88"/>
      <c r="CA45" s="88"/>
    </row>
    <row r="46" spans="1:79" s="52" customFormat="1" x14ac:dyDescent="0.15">
      <c r="A46" s="42"/>
      <c r="B46" s="42"/>
      <c r="C46" s="42"/>
      <c r="D46" s="42"/>
      <c r="E46" s="201">
        <f>COUNT(IF(B21=AM39,E39:F45,E38:F45))</f>
        <v>0</v>
      </c>
      <c r="F46" s="201"/>
      <c r="G46" s="42"/>
      <c r="I46" s="202">
        <f>SUM(I38:J45)</f>
        <v>0</v>
      </c>
      <c r="J46" s="202"/>
      <c r="K46" s="203">
        <f>SUM(K38:L45)</f>
        <v>0</v>
      </c>
      <c r="L46" s="202"/>
      <c r="T46" s="204">
        <f>SUM(T38:W45)</f>
        <v>0</v>
      </c>
      <c r="U46" s="205"/>
      <c r="V46" s="205"/>
      <c r="W46" s="205"/>
      <c r="X46" s="206">
        <f>SUM(X38:Z45)</f>
        <v>0</v>
      </c>
      <c r="Y46" s="202"/>
      <c r="Z46" s="202"/>
      <c r="AS46" s="41">
        <f t="shared" si="17"/>
        <v>0</v>
      </c>
      <c r="AT46" s="87">
        <v>1628000</v>
      </c>
      <c r="AU46" s="87"/>
      <c r="AV46" s="87"/>
      <c r="AW46" s="79" t="s">
        <v>37</v>
      </c>
      <c r="AX46" s="87">
        <v>1799999</v>
      </c>
      <c r="AY46" s="87"/>
      <c r="AZ46" s="87"/>
      <c r="BA46" s="88">
        <f>IF(AS46=1,ROUNDDOWN(AX52/4,-3)*2.4+100000,0)</f>
        <v>0</v>
      </c>
      <c r="BB46" s="88"/>
      <c r="BC46" s="88"/>
      <c r="BD46"/>
      <c r="BE46" s="41"/>
      <c r="BF46" s="87"/>
      <c r="BG46" s="87"/>
      <c r="BH46" s="87"/>
      <c r="BI46" s="79" t="s">
        <v>37</v>
      </c>
      <c r="BJ46" s="87"/>
      <c r="BK46" s="87"/>
      <c r="BL46" s="87"/>
      <c r="BM46" s="88"/>
      <c r="BN46" s="88"/>
      <c r="BO46" s="88"/>
      <c r="BP46" s="49"/>
      <c r="BQ46" s="41"/>
      <c r="BR46" s="87"/>
      <c r="BS46" s="87"/>
      <c r="BT46" s="87"/>
      <c r="BU46" s="79" t="s">
        <v>37</v>
      </c>
      <c r="BV46" s="87"/>
      <c r="BW46" s="87"/>
      <c r="BX46" s="87"/>
      <c r="BY46" s="88"/>
      <c r="BZ46" s="88"/>
      <c r="CA46" s="88"/>
    </row>
    <row r="47" spans="1:79" x14ac:dyDescent="0.15">
      <c r="A47" s="78"/>
      <c r="B47" s="78"/>
      <c r="C47" s="78"/>
      <c r="D47" s="78"/>
      <c r="E47" s="78"/>
      <c r="AS47" s="41">
        <f t="shared" si="17"/>
        <v>0</v>
      </c>
      <c r="AT47" s="87">
        <v>1800000</v>
      </c>
      <c r="AU47" s="87"/>
      <c r="AV47" s="87"/>
      <c r="AW47" s="79" t="s">
        <v>37</v>
      </c>
      <c r="AX47" s="87">
        <v>3599999</v>
      </c>
      <c r="AY47" s="87"/>
      <c r="AZ47" s="87"/>
      <c r="BA47" s="88">
        <f>IF(AS47=1,ROUNDDOWN(AX52/4,-3)*2.8-80000,0)</f>
        <v>0</v>
      </c>
      <c r="BB47" s="88"/>
      <c r="BC47" s="88"/>
      <c r="BE47" s="41"/>
      <c r="BF47" s="87"/>
      <c r="BG47" s="87"/>
      <c r="BH47" s="87"/>
      <c r="BI47" s="79" t="s">
        <v>37</v>
      </c>
      <c r="BJ47" s="87"/>
      <c r="BK47" s="87"/>
      <c r="BL47" s="87"/>
      <c r="BM47" s="88"/>
      <c r="BN47" s="88"/>
      <c r="BO47" s="88"/>
      <c r="BP47" s="49"/>
      <c r="BQ47" s="41"/>
      <c r="BR47" s="87"/>
      <c r="BS47" s="87"/>
      <c r="BT47" s="87"/>
      <c r="BU47" s="79" t="s">
        <v>37</v>
      </c>
      <c r="BV47" s="87"/>
      <c r="BW47" s="87"/>
      <c r="BX47" s="87"/>
      <c r="BY47" s="88"/>
      <c r="BZ47" s="88"/>
      <c r="CA47" s="88"/>
    </row>
    <row r="48" spans="1:79" x14ac:dyDescent="0.15">
      <c r="A48" s="78"/>
      <c r="B48" s="78"/>
      <c r="C48" s="78"/>
      <c r="D48" s="40" t="s">
        <v>62</v>
      </c>
      <c r="E48" s="78">
        <f>K46</f>
        <v>0</v>
      </c>
      <c r="AS48" s="41">
        <f t="shared" si="17"/>
        <v>0</v>
      </c>
      <c r="AT48" s="87">
        <v>3600000</v>
      </c>
      <c r="AU48" s="87"/>
      <c r="AV48" s="87"/>
      <c r="AW48" s="79" t="s">
        <v>37</v>
      </c>
      <c r="AX48" s="87">
        <v>6599999</v>
      </c>
      <c r="AY48" s="87"/>
      <c r="AZ48" s="87"/>
      <c r="BA48" s="88">
        <f>IF(AS48=1,ROUNDDOWN(AX52/4,-3)*3.2-440000,0)</f>
        <v>0</v>
      </c>
      <c r="BB48" s="88"/>
      <c r="BC48" s="88"/>
      <c r="BE48" s="41"/>
      <c r="BF48" s="87"/>
      <c r="BG48" s="87"/>
      <c r="BH48" s="87"/>
      <c r="BI48" s="79" t="s">
        <v>37</v>
      </c>
      <c r="BJ48" s="87"/>
      <c r="BK48" s="87"/>
      <c r="BL48" s="87"/>
      <c r="BM48" s="88"/>
      <c r="BN48" s="88"/>
      <c r="BO48" s="88"/>
      <c r="BP48" s="49"/>
      <c r="BQ48" s="41"/>
      <c r="BR48" s="87"/>
      <c r="BS48" s="87"/>
      <c r="BT48" s="87"/>
      <c r="BU48" s="79" t="s">
        <v>37</v>
      </c>
      <c r="BV48" s="87"/>
      <c r="BW48" s="87"/>
      <c r="BX48" s="87"/>
      <c r="BY48" s="88"/>
      <c r="BZ48" s="88"/>
      <c r="CA48" s="88"/>
    </row>
    <row r="49" spans="1:79" x14ac:dyDescent="0.15">
      <c r="A49" s="78"/>
      <c r="B49" s="78"/>
      <c r="C49" s="78"/>
      <c r="D49" s="78"/>
      <c r="E49" s="78"/>
      <c r="AF49" s="207" t="s">
        <v>66</v>
      </c>
      <c r="AG49" s="207"/>
      <c r="AH49" s="207"/>
      <c r="AI49" s="207"/>
      <c r="AS49" s="41">
        <f t="shared" si="17"/>
        <v>0</v>
      </c>
      <c r="AT49" s="87">
        <v>6600000</v>
      </c>
      <c r="AU49" s="87"/>
      <c r="AV49" s="87"/>
      <c r="AW49" s="79" t="s">
        <v>37</v>
      </c>
      <c r="AX49" s="87">
        <v>8499999</v>
      </c>
      <c r="AY49" s="87"/>
      <c r="AZ49" s="87"/>
      <c r="BA49" s="88">
        <f>IF(AS49=1,AX52*0.9-1100000,0)</f>
        <v>0</v>
      </c>
      <c r="BB49" s="88"/>
      <c r="BC49" s="88"/>
      <c r="BE49" s="41"/>
      <c r="BF49" s="87"/>
      <c r="BG49" s="87"/>
      <c r="BH49" s="87"/>
      <c r="BI49" s="79" t="s">
        <v>37</v>
      </c>
      <c r="BJ49" s="87"/>
      <c r="BK49" s="87"/>
      <c r="BL49" s="87"/>
      <c r="BM49" s="88"/>
      <c r="BN49" s="88"/>
      <c r="BO49" s="88"/>
      <c r="BP49" s="49"/>
      <c r="BQ49" s="41"/>
      <c r="BR49" s="87"/>
      <c r="BS49" s="87"/>
      <c r="BT49" s="87"/>
      <c r="BU49" s="79" t="s">
        <v>37</v>
      </c>
      <c r="BV49" s="87"/>
      <c r="BW49" s="87"/>
      <c r="BX49" s="87"/>
      <c r="BY49" s="88"/>
      <c r="BZ49" s="88"/>
      <c r="CA49" s="88"/>
    </row>
    <row r="50" spans="1:79" x14ac:dyDescent="0.15">
      <c r="A50" s="78"/>
      <c r="B50" s="78"/>
      <c r="C50" s="78"/>
      <c r="D50" s="58" t="s">
        <v>51</v>
      </c>
      <c r="E50" s="78"/>
      <c r="F50" s="78"/>
      <c r="G50" s="78"/>
      <c r="H50" s="78"/>
      <c r="I50" s="78"/>
      <c r="J50" s="78"/>
      <c r="K50" s="78"/>
      <c r="L50" s="78"/>
      <c r="M50" s="78"/>
      <c r="N50" s="78"/>
      <c r="O50" s="78"/>
      <c r="P50" s="78"/>
      <c r="Q50" s="78"/>
      <c r="R50" s="78"/>
      <c r="S50" s="78"/>
      <c r="T50" s="78"/>
      <c r="U50" s="78"/>
      <c r="V50" s="78"/>
      <c r="W50" s="78"/>
      <c r="X50" s="78"/>
      <c r="Y50" s="78"/>
      <c r="Z50" s="78"/>
      <c r="AF50" s="41" t="s">
        <v>52</v>
      </c>
      <c r="AG50" s="88">
        <f>IF($E$48&gt;=2,AB61,R53)</f>
        <v>430000</v>
      </c>
      <c r="AH50" s="88"/>
      <c r="AI50" s="88"/>
      <c r="AS50" s="41">
        <f>IF($AX$52&gt;=AT50,1,0)</f>
        <v>0</v>
      </c>
      <c r="AT50" s="87">
        <v>8500000</v>
      </c>
      <c r="AU50" s="87"/>
      <c r="AV50" s="87"/>
      <c r="AW50" s="79" t="s">
        <v>37</v>
      </c>
      <c r="AX50" s="87"/>
      <c r="AY50" s="87"/>
      <c r="AZ50" s="87"/>
      <c r="BA50" s="88">
        <f>IF(AS50=1,AX52-1950000,0)</f>
        <v>0</v>
      </c>
      <c r="BB50" s="88"/>
      <c r="BC50" s="88"/>
      <c r="BE50" s="41"/>
      <c r="BF50" s="87"/>
      <c r="BG50" s="87"/>
      <c r="BH50" s="87"/>
      <c r="BI50" s="79" t="s">
        <v>37</v>
      </c>
      <c r="BJ50" s="87"/>
      <c r="BK50" s="87"/>
      <c r="BL50" s="87"/>
      <c r="BM50" s="88"/>
      <c r="BN50" s="88"/>
      <c r="BO50" s="88"/>
      <c r="BP50" s="49"/>
      <c r="BQ50" s="41"/>
      <c r="BR50" s="87"/>
      <c r="BS50" s="87"/>
      <c r="BT50" s="87"/>
      <c r="BU50" s="79" t="s">
        <v>37</v>
      </c>
      <c r="BV50" s="87"/>
      <c r="BW50" s="87"/>
      <c r="BX50" s="87"/>
      <c r="BY50" s="88"/>
      <c r="BZ50" s="88"/>
      <c r="CA50" s="88"/>
    </row>
    <row r="51" spans="1:79" x14ac:dyDescent="0.15">
      <c r="A51" s="78"/>
      <c r="B51" s="78"/>
      <c r="C51" s="78"/>
      <c r="D51" s="208" t="s">
        <v>53</v>
      </c>
      <c r="E51" s="208" t="s">
        <v>56</v>
      </c>
      <c r="F51" s="208"/>
      <c r="G51" s="208"/>
      <c r="H51" s="208"/>
      <c r="I51" s="78"/>
      <c r="J51" s="208" t="s">
        <v>58</v>
      </c>
      <c r="K51" s="208"/>
      <c r="L51" s="208"/>
      <c r="M51" s="208"/>
      <c r="N51" s="208"/>
      <c r="O51" s="208"/>
      <c r="P51" s="208"/>
      <c r="Q51" s="78"/>
      <c r="R51" s="78"/>
      <c r="S51" s="78"/>
      <c r="T51" s="78"/>
      <c r="U51" s="78"/>
      <c r="V51" s="78"/>
      <c r="W51" s="78"/>
      <c r="X51" s="78"/>
      <c r="Y51" s="78"/>
      <c r="Z51" s="78"/>
      <c r="AF51" s="41" t="s">
        <v>54</v>
      </c>
      <c r="AG51" s="88">
        <f>IF($E$48&gt;=2,AB62,R54)</f>
        <v>430000</v>
      </c>
      <c r="AH51" s="88"/>
      <c r="AI51" s="88"/>
      <c r="AS51" s="78"/>
      <c r="AT51" s="46"/>
      <c r="AU51" s="46"/>
      <c r="AV51" s="46"/>
      <c r="AW51" s="78"/>
      <c r="AX51" s="38"/>
      <c r="AY51" s="38"/>
      <c r="AZ51" s="38"/>
      <c r="BA51" s="43"/>
      <c r="BB51" s="43"/>
      <c r="BC51" s="43"/>
      <c r="BE51" s="78"/>
      <c r="BF51" s="46"/>
      <c r="BG51" s="46"/>
      <c r="BH51" s="46"/>
      <c r="BI51" s="78"/>
      <c r="BJ51" s="38"/>
      <c r="BK51" s="38"/>
      <c r="BL51" s="38"/>
      <c r="BM51" s="43"/>
      <c r="BN51" s="43"/>
      <c r="BO51" s="43"/>
      <c r="BP51" s="43"/>
      <c r="BQ51" s="78"/>
      <c r="BR51" s="46"/>
      <c r="BS51" s="46"/>
      <c r="BT51" s="46"/>
      <c r="BU51" s="78"/>
      <c r="BV51" s="38"/>
      <c r="BW51" s="38"/>
      <c r="BX51" s="38"/>
      <c r="BY51" s="43"/>
      <c r="BZ51" s="43"/>
      <c r="CA51" s="43"/>
    </row>
    <row r="52" spans="1:79" x14ac:dyDescent="0.15">
      <c r="A52" s="78"/>
      <c r="B52" s="78"/>
      <c r="C52" s="78"/>
      <c r="D52" s="208"/>
      <c r="E52" s="208"/>
      <c r="F52" s="208"/>
      <c r="G52" s="208"/>
      <c r="H52" s="208"/>
      <c r="I52" s="78"/>
      <c r="J52" s="78"/>
      <c r="K52" s="78"/>
      <c r="L52" s="78"/>
      <c r="M52" s="78"/>
      <c r="N52" s="208" t="s">
        <v>60</v>
      </c>
      <c r="O52" s="208"/>
      <c r="P52" s="208"/>
      <c r="Q52" s="78"/>
      <c r="R52" s="78"/>
      <c r="S52" s="78"/>
      <c r="T52" s="78"/>
      <c r="U52" s="78"/>
      <c r="V52" s="78"/>
      <c r="W52" s="78"/>
      <c r="X52" s="78"/>
      <c r="Y52" s="78"/>
      <c r="Z52" s="78"/>
      <c r="AF52" s="41" t="s">
        <v>55</v>
      </c>
      <c r="AG52" s="88">
        <f>IF($E$48&gt;=2,AB63,R55)</f>
        <v>430000</v>
      </c>
      <c r="AH52" s="88"/>
      <c r="AI52" s="88"/>
      <c r="AS52" s="78"/>
      <c r="AT52" s="104" t="s">
        <v>31</v>
      </c>
      <c r="AU52" s="104"/>
      <c r="AV52" s="104"/>
      <c r="AW52" s="104"/>
      <c r="AX52" s="105">
        <f>F22</f>
        <v>0</v>
      </c>
      <c r="AY52" s="106"/>
      <c r="AZ52" s="107"/>
      <c r="BA52" s="44"/>
      <c r="BB52" s="45"/>
      <c r="BC52" s="45"/>
      <c r="BE52" s="78"/>
      <c r="BF52" s="104" t="s">
        <v>43</v>
      </c>
      <c r="BG52" s="104"/>
      <c r="BH52" s="104"/>
      <c r="BI52" s="104"/>
      <c r="BJ52" s="108">
        <f>J22</f>
        <v>0</v>
      </c>
      <c r="BK52" s="108"/>
      <c r="BL52" s="108"/>
      <c r="BM52" s="44"/>
      <c r="BN52" s="45"/>
      <c r="BO52" s="45"/>
      <c r="BP52" s="45"/>
      <c r="BQ52" s="78"/>
      <c r="BR52" s="104" t="s">
        <v>43</v>
      </c>
      <c r="BS52" s="104"/>
      <c r="BT52" s="104"/>
      <c r="BU52" s="104"/>
      <c r="BV52" s="108">
        <f>BJ52</f>
        <v>0</v>
      </c>
      <c r="BW52" s="108"/>
      <c r="BX52" s="108"/>
      <c r="BY52" s="44"/>
      <c r="BZ52" s="45"/>
      <c r="CA52" s="45"/>
    </row>
    <row r="53" spans="1:79" x14ac:dyDescent="0.15">
      <c r="C53" s="78"/>
      <c r="D53" s="78" t="s">
        <v>52</v>
      </c>
      <c r="E53" s="209">
        <v>430000</v>
      </c>
      <c r="F53" s="209"/>
      <c r="G53" s="209"/>
      <c r="H53" s="209"/>
      <c r="I53" s="78"/>
      <c r="J53" s="78"/>
      <c r="K53" s="78"/>
      <c r="L53" s="78"/>
      <c r="M53" s="78"/>
      <c r="N53" s="78"/>
      <c r="O53" s="78"/>
      <c r="P53" s="78"/>
      <c r="Q53" s="78" t="s">
        <v>0</v>
      </c>
      <c r="R53" s="209">
        <f>E53</f>
        <v>430000</v>
      </c>
      <c r="S53" s="209"/>
      <c r="T53" s="209"/>
      <c r="U53" s="78"/>
      <c r="V53" s="78"/>
      <c r="W53" s="78"/>
      <c r="X53" s="78"/>
      <c r="Y53" s="78"/>
      <c r="Z53" s="78"/>
      <c r="AT53" s="104" t="s">
        <v>42</v>
      </c>
      <c r="AU53" s="104"/>
      <c r="AV53" s="104"/>
      <c r="AW53" s="104"/>
      <c r="AX53" s="119">
        <f>SUM(BA40:BC50)</f>
        <v>0</v>
      </c>
      <c r="AY53" s="112"/>
      <c r="AZ53" s="112"/>
      <c r="BF53" s="104" t="s">
        <v>44</v>
      </c>
      <c r="BG53" s="104"/>
      <c r="BH53" s="104"/>
      <c r="BI53" s="104"/>
      <c r="BJ53" s="119">
        <f>SUM(BM40:BO50)</f>
        <v>0</v>
      </c>
      <c r="BK53" s="112"/>
      <c r="BL53" s="112"/>
      <c r="BM53" s="65">
        <f>IF(D22&lt;65,1,0)</f>
        <v>1</v>
      </c>
      <c r="BR53" s="104" t="s">
        <v>44</v>
      </c>
      <c r="BS53" s="104"/>
      <c r="BT53" s="104"/>
      <c r="BU53" s="104"/>
      <c r="BV53" s="119">
        <f>SUM(BY40:CA50)</f>
        <v>0</v>
      </c>
      <c r="BW53" s="112"/>
      <c r="BX53" s="112"/>
      <c r="BY53" s="65">
        <f>IF(D22&lt;65,0,1)</f>
        <v>0</v>
      </c>
    </row>
    <row r="54" spans="1:79" x14ac:dyDescent="0.15">
      <c r="C54" s="78"/>
      <c r="D54" s="78" t="s">
        <v>54</v>
      </c>
      <c r="E54" s="209">
        <f>E53</f>
        <v>430000</v>
      </c>
      <c r="F54" s="209"/>
      <c r="G54" s="209"/>
      <c r="H54" s="209"/>
      <c r="I54" s="78" t="s">
        <v>57</v>
      </c>
      <c r="J54" s="210">
        <v>305000</v>
      </c>
      <c r="K54" s="208"/>
      <c r="L54" s="208"/>
      <c r="M54" s="78" t="s">
        <v>59</v>
      </c>
      <c r="N54" s="38"/>
      <c r="O54" s="38">
        <f>I46-IF(B21="擬主",1,0)</f>
        <v>0</v>
      </c>
      <c r="P54" s="38"/>
      <c r="Q54" s="78" t="s">
        <v>0</v>
      </c>
      <c r="R54" s="209">
        <f>E54+J54*O54</f>
        <v>430000</v>
      </c>
      <c r="S54" s="209"/>
      <c r="T54" s="209"/>
      <c r="U54" s="78"/>
      <c r="V54" s="78"/>
      <c r="W54" s="78"/>
      <c r="X54" s="78"/>
      <c r="Y54" s="78"/>
      <c r="Z54" s="78"/>
      <c r="BJ54" s="47"/>
      <c r="BK54" s="47"/>
      <c r="BL54" s="47"/>
      <c r="BV54" s="47"/>
      <c r="BW54" s="47"/>
      <c r="BX54" s="47"/>
    </row>
    <row r="55" spans="1:79" x14ac:dyDescent="0.15">
      <c r="D55" s="78" t="s">
        <v>55</v>
      </c>
      <c r="E55" s="209">
        <f>E54</f>
        <v>430000</v>
      </c>
      <c r="F55" s="209"/>
      <c r="G55" s="209"/>
      <c r="H55" s="209"/>
      <c r="I55" s="37" t="s">
        <v>57</v>
      </c>
      <c r="J55" s="209">
        <v>560000</v>
      </c>
      <c r="K55" s="209"/>
      <c r="L55" s="209"/>
      <c r="M55" s="37" t="s">
        <v>59</v>
      </c>
      <c r="N55" s="38"/>
      <c r="O55" s="38">
        <f>O54</f>
        <v>0</v>
      </c>
      <c r="P55" s="38"/>
      <c r="Q55" s="78" t="s">
        <v>0</v>
      </c>
      <c r="R55" s="209">
        <f>E55+J55*O55</f>
        <v>430000</v>
      </c>
      <c r="S55" s="209"/>
      <c r="T55" s="209"/>
      <c r="BE55" s="112" t="s">
        <v>45</v>
      </c>
      <c r="BF55" s="112"/>
      <c r="BG55" s="112"/>
      <c r="BH55" s="112"/>
      <c r="BI55" s="112"/>
      <c r="BJ55" s="112"/>
      <c r="BK55" s="112"/>
      <c r="BL55" s="112"/>
      <c r="BM55" s="112"/>
      <c r="BN55" s="112"/>
      <c r="BO55" s="112"/>
      <c r="BP55" s="69"/>
      <c r="BQ55" s="112" t="s">
        <v>45</v>
      </c>
      <c r="BR55" s="112"/>
      <c r="BS55" s="112"/>
      <c r="BT55" s="112"/>
      <c r="BU55" s="112"/>
      <c r="BV55" s="112"/>
      <c r="BW55" s="112"/>
      <c r="BX55" s="112"/>
      <c r="BY55" s="112"/>
      <c r="BZ55" s="112"/>
      <c r="CA55" s="112"/>
    </row>
    <row r="56" spans="1:79" x14ac:dyDescent="0.15">
      <c r="BL56" s="118">
        <f>V22</f>
        <v>0</v>
      </c>
      <c r="BM56" s="118"/>
      <c r="BN56" s="118"/>
      <c r="BO56" s="118"/>
      <c r="BP56" s="50"/>
      <c r="BX56" s="118">
        <f>BL56</f>
        <v>0</v>
      </c>
      <c r="BY56" s="118"/>
      <c r="BZ56" s="118"/>
      <c r="CA56" s="118"/>
    </row>
    <row r="57" spans="1:79" x14ac:dyDescent="0.15">
      <c r="AT57" t="s">
        <v>75</v>
      </c>
    </row>
    <row r="58" spans="1:79" x14ac:dyDescent="0.15">
      <c r="D58" s="58" t="s">
        <v>61</v>
      </c>
      <c r="E58" s="78"/>
      <c r="F58" s="78"/>
      <c r="G58" s="78"/>
      <c r="H58" s="78"/>
      <c r="I58" s="78"/>
      <c r="J58" s="78"/>
      <c r="K58" s="78"/>
      <c r="L58" s="78"/>
      <c r="M58" s="78"/>
      <c r="N58" s="78"/>
      <c r="O58" s="78"/>
      <c r="P58" s="78"/>
      <c r="AT58" s="112" t="s">
        <v>42</v>
      </c>
      <c r="AU58" s="112"/>
      <c r="AV58" s="112"/>
      <c r="AW58" s="112"/>
      <c r="AX58" s="119">
        <f>AX53</f>
        <v>0</v>
      </c>
      <c r="AY58" s="112"/>
      <c r="AZ58" s="112"/>
      <c r="BB58" t="s">
        <v>87</v>
      </c>
    </row>
    <row r="59" spans="1:79" x14ac:dyDescent="0.15">
      <c r="D59" s="208" t="s">
        <v>53</v>
      </c>
      <c r="E59" s="208" t="s">
        <v>56</v>
      </c>
      <c r="F59" s="208"/>
      <c r="G59" s="208"/>
      <c r="H59" s="208"/>
      <c r="I59" s="78"/>
      <c r="J59" s="208" t="s">
        <v>58</v>
      </c>
      <c r="K59" s="208"/>
      <c r="L59" s="208"/>
      <c r="M59" s="208"/>
      <c r="N59" s="208"/>
      <c r="O59" s="208"/>
      <c r="P59" s="208"/>
      <c r="AT59" s="112" t="s">
        <v>48</v>
      </c>
      <c r="AU59" s="112"/>
      <c r="AV59" s="112"/>
      <c r="AW59" s="112"/>
      <c r="AX59" s="143">
        <f>IF(BM53=1,BJ53,IF(BY53=1,BV53,0))</f>
        <v>0</v>
      </c>
      <c r="AY59" s="143"/>
      <c r="AZ59" s="143"/>
      <c r="BB59" t="s">
        <v>86</v>
      </c>
    </row>
    <row r="60" spans="1:79" x14ac:dyDescent="0.15">
      <c r="D60" s="208"/>
      <c r="E60" s="208"/>
      <c r="F60" s="208"/>
      <c r="G60" s="208"/>
      <c r="H60" s="208"/>
      <c r="I60" s="78"/>
      <c r="J60" s="208" t="s">
        <v>62</v>
      </c>
      <c r="K60" s="208"/>
      <c r="L60" s="208"/>
      <c r="M60" s="208"/>
      <c r="N60" s="208"/>
      <c r="O60" s="78"/>
      <c r="P60" s="78"/>
      <c r="X60" s="208" t="s">
        <v>60</v>
      </c>
      <c r="Y60" s="208"/>
      <c r="Z60" s="208"/>
      <c r="AT60" s="112" t="s">
        <v>49</v>
      </c>
      <c r="AU60" s="112"/>
      <c r="AV60" s="112"/>
      <c r="AW60" s="112"/>
      <c r="AX60" s="119">
        <f>SUM(AX58:AZ59)+IF((AND(AX58&gt;0,AX59&gt;0,(AX58+AX59)&gt;100000)),-100000,0)</f>
        <v>0</v>
      </c>
      <c r="AY60" s="112"/>
      <c r="AZ60" s="112"/>
      <c r="BB60" t="s">
        <v>70</v>
      </c>
      <c r="BP60" s="70"/>
    </row>
    <row r="61" spans="1:79" x14ac:dyDescent="0.15">
      <c r="D61" s="78" t="s">
        <v>52</v>
      </c>
      <c r="E61" s="209">
        <v>430000</v>
      </c>
      <c r="F61" s="209"/>
      <c r="G61" s="209"/>
      <c r="H61" s="209"/>
      <c r="I61" s="78" t="s">
        <v>57</v>
      </c>
      <c r="J61" s="78" t="s">
        <v>63</v>
      </c>
      <c r="K61" s="78">
        <f>$K$46</f>
        <v>0</v>
      </c>
      <c r="L61" s="78" t="s">
        <v>14</v>
      </c>
      <c r="M61" s="78">
        <v>1</v>
      </c>
      <c r="N61" s="58" t="s">
        <v>64</v>
      </c>
      <c r="O61" s="78" t="s">
        <v>59</v>
      </c>
      <c r="P61" s="209">
        <v>100000</v>
      </c>
      <c r="Q61" s="209"/>
      <c r="R61" s="209"/>
      <c r="S61" s="78"/>
      <c r="T61" s="59"/>
      <c r="U61" s="59"/>
      <c r="V61" s="59"/>
      <c r="AA61" s="37" t="s">
        <v>0</v>
      </c>
      <c r="AB61" s="211">
        <f>E61+(K61-1)*P61</f>
        <v>330000</v>
      </c>
      <c r="AC61" s="211"/>
      <c r="AD61" s="211"/>
    </row>
    <row r="62" spans="1:79" x14ac:dyDescent="0.15">
      <c r="D62" s="78" t="s">
        <v>54</v>
      </c>
      <c r="E62" s="209">
        <f>E61</f>
        <v>430000</v>
      </c>
      <c r="F62" s="209"/>
      <c r="G62" s="209"/>
      <c r="H62" s="209"/>
      <c r="I62" s="78" t="s">
        <v>57</v>
      </c>
      <c r="J62" s="78" t="s">
        <v>63</v>
      </c>
      <c r="K62" s="78">
        <f>$K$46</f>
        <v>0</v>
      </c>
      <c r="L62" s="78" t="s">
        <v>14</v>
      </c>
      <c r="M62" s="78">
        <v>1</v>
      </c>
      <c r="N62" s="60" t="s">
        <v>64</v>
      </c>
      <c r="O62" s="78" t="s">
        <v>59</v>
      </c>
      <c r="P62" s="209">
        <f>P61</f>
        <v>100000</v>
      </c>
      <c r="Q62" s="209"/>
      <c r="R62" s="209"/>
      <c r="S62" s="78" t="s">
        <v>65</v>
      </c>
      <c r="T62" s="211">
        <v>305000</v>
      </c>
      <c r="U62" s="211"/>
      <c r="V62" s="211"/>
      <c r="W62" s="2" t="s">
        <v>59</v>
      </c>
      <c r="Y62" s="2">
        <f>O54</f>
        <v>0</v>
      </c>
      <c r="AA62" s="37" t="s">
        <v>0</v>
      </c>
      <c r="AB62" s="211">
        <f>E62+(K62-1)*P62+T62*Y62</f>
        <v>330000</v>
      </c>
      <c r="AC62" s="211"/>
      <c r="AD62" s="211"/>
      <c r="AT62" s="112" t="s">
        <v>66</v>
      </c>
      <c r="AU62" s="112"/>
      <c r="AV62" s="112"/>
      <c r="AW62" s="112"/>
      <c r="AX62" s="143">
        <f>MAX(IF(BM53=1,BJ53,IF(BY53=1,BV53-150000,0)),0)</f>
        <v>0</v>
      </c>
      <c r="AY62" s="143"/>
      <c r="AZ62" s="143"/>
    </row>
    <row r="63" spans="1:79" x14ac:dyDescent="0.15">
      <c r="D63" s="78" t="s">
        <v>55</v>
      </c>
      <c r="E63" s="209">
        <f>E62</f>
        <v>430000</v>
      </c>
      <c r="F63" s="209"/>
      <c r="G63" s="209"/>
      <c r="H63" s="209"/>
      <c r="I63" s="37" t="s">
        <v>57</v>
      </c>
      <c r="J63" s="78" t="s">
        <v>63</v>
      </c>
      <c r="K63" s="78">
        <f>$K$46</f>
        <v>0</v>
      </c>
      <c r="L63" s="78" t="s">
        <v>14</v>
      </c>
      <c r="M63" s="78">
        <v>1</v>
      </c>
      <c r="N63" s="39" t="s">
        <v>64</v>
      </c>
      <c r="O63" s="78" t="s">
        <v>59</v>
      </c>
      <c r="P63" s="209">
        <f>P62</f>
        <v>100000</v>
      </c>
      <c r="Q63" s="209"/>
      <c r="R63" s="209"/>
      <c r="S63" s="78" t="s">
        <v>65</v>
      </c>
      <c r="T63" s="211">
        <v>560000</v>
      </c>
      <c r="U63" s="211"/>
      <c r="V63" s="211"/>
      <c r="W63" s="2" t="s">
        <v>59</v>
      </c>
      <c r="Y63" s="2">
        <f>O54</f>
        <v>0</v>
      </c>
      <c r="AA63" s="37" t="s">
        <v>0</v>
      </c>
      <c r="AB63" s="211">
        <f>E63+(K63-1)*P63+T63*Y63</f>
        <v>330000</v>
      </c>
      <c r="AC63" s="211"/>
      <c r="AD63" s="211"/>
    </row>
    <row r="65" spans="2:79" x14ac:dyDescent="0.15">
      <c r="AS65" s="93" t="s">
        <v>36</v>
      </c>
      <c r="AT65" s="94"/>
      <c r="AU65" s="94"/>
      <c r="AV65" s="94"/>
      <c r="AW65" s="94"/>
      <c r="AX65" s="94"/>
      <c r="AY65" s="94"/>
      <c r="AZ65" s="94"/>
      <c r="BA65" s="94"/>
      <c r="BB65" s="94"/>
      <c r="BC65" s="95"/>
      <c r="BE65" s="51"/>
      <c r="BF65" s="93" t="s">
        <v>47</v>
      </c>
      <c r="BG65" s="94"/>
      <c r="BH65" s="94"/>
      <c r="BI65" s="94"/>
      <c r="BJ65" s="94"/>
      <c r="BK65" s="94"/>
      <c r="BL65" s="94"/>
      <c r="BM65" s="94"/>
      <c r="BN65" s="94"/>
      <c r="BO65" s="95"/>
      <c r="BP65" s="69"/>
      <c r="BQ65" s="51"/>
      <c r="BR65" s="93" t="s">
        <v>46</v>
      </c>
      <c r="BS65" s="94"/>
      <c r="BT65" s="94"/>
      <c r="BU65" s="94"/>
      <c r="BV65" s="94"/>
      <c r="BW65" s="94"/>
      <c r="BX65" s="94"/>
      <c r="BY65" s="94"/>
      <c r="BZ65" s="94"/>
      <c r="CA65" s="95"/>
    </row>
    <row r="66" spans="2:79" x14ac:dyDescent="0.15">
      <c r="B66" s="2" t="s">
        <v>90</v>
      </c>
      <c r="D66" s="78" t="s">
        <v>91</v>
      </c>
      <c r="E66" s="65">
        <f>IF($E$21&lt;6,1,IF($E$21&gt;=6,0,"ERROR"))</f>
        <v>1</v>
      </c>
      <c r="I66" s="65"/>
      <c r="AS66" s="91"/>
      <c r="AT66" s="89" t="s">
        <v>38</v>
      </c>
      <c r="AU66" s="89"/>
      <c r="AV66" s="89"/>
      <c r="AW66" s="89"/>
      <c r="AX66" s="89"/>
      <c r="AY66" s="89"/>
      <c r="AZ66" s="89"/>
      <c r="BA66" s="89" t="s">
        <v>39</v>
      </c>
      <c r="BB66" s="89"/>
      <c r="BC66" s="89"/>
      <c r="BE66" s="91"/>
      <c r="BF66" s="89" t="s">
        <v>38</v>
      </c>
      <c r="BG66" s="89"/>
      <c r="BH66" s="89"/>
      <c r="BI66" s="89"/>
      <c r="BJ66" s="89"/>
      <c r="BK66" s="89"/>
      <c r="BL66" s="89"/>
      <c r="BM66" s="89" t="s">
        <v>39</v>
      </c>
      <c r="BN66" s="89"/>
      <c r="BO66" s="89"/>
      <c r="BP66" s="48"/>
      <c r="BQ66" s="91"/>
      <c r="BR66" s="89" t="s">
        <v>38</v>
      </c>
      <c r="BS66" s="89"/>
      <c r="BT66" s="89"/>
      <c r="BU66" s="89"/>
      <c r="BV66" s="89"/>
      <c r="BW66" s="89"/>
      <c r="BX66" s="89"/>
      <c r="BY66" s="89" t="s">
        <v>39</v>
      </c>
      <c r="BZ66" s="89"/>
      <c r="CA66" s="89"/>
    </row>
    <row r="67" spans="2:79" ht="38.25" customHeight="1" x14ac:dyDescent="0.15">
      <c r="D67" s="77"/>
      <c r="E67" s="154" t="s">
        <v>20</v>
      </c>
      <c r="F67" s="155"/>
      <c r="G67" s="155"/>
      <c r="H67" s="152" t="s">
        <v>7</v>
      </c>
      <c r="I67" s="152"/>
      <c r="J67" s="152"/>
      <c r="K67" s="152" t="s">
        <v>28</v>
      </c>
      <c r="L67" s="152"/>
      <c r="M67" s="152"/>
      <c r="N67" s="152" t="s">
        <v>29</v>
      </c>
      <c r="O67" s="152"/>
      <c r="P67" s="152"/>
      <c r="Q67" s="152" t="s">
        <v>6</v>
      </c>
      <c r="R67" s="152"/>
      <c r="S67" s="152"/>
      <c r="T67" s="156" t="s">
        <v>71</v>
      </c>
      <c r="U67" s="152"/>
      <c r="V67" s="152"/>
      <c r="W67" s="156" t="s">
        <v>72</v>
      </c>
      <c r="X67" s="152"/>
      <c r="Y67" s="152"/>
      <c r="AA67" s="152" t="s">
        <v>73</v>
      </c>
      <c r="AB67" s="152"/>
      <c r="AC67" s="152"/>
      <c r="AD67" s="77"/>
      <c r="AE67" s="152" t="s">
        <v>74</v>
      </c>
      <c r="AF67" s="152"/>
      <c r="AG67" s="152"/>
      <c r="AS67" s="92"/>
      <c r="AT67" s="90"/>
      <c r="AU67" s="90"/>
      <c r="AV67" s="90"/>
      <c r="AW67" s="90"/>
      <c r="AX67" s="90"/>
      <c r="AY67" s="90"/>
      <c r="AZ67" s="90"/>
      <c r="BA67" s="90"/>
      <c r="BB67" s="90"/>
      <c r="BC67" s="90"/>
      <c r="BE67" s="92"/>
      <c r="BF67" s="90"/>
      <c r="BG67" s="90"/>
      <c r="BH67" s="90"/>
      <c r="BI67" s="90"/>
      <c r="BJ67" s="90"/>
      <c r="BK67" s="90"/>
      <c r="BL67" s="90"/>
      <c r="BM67" s="90"/>
      <c r="BN67" s="90"/>
      <c r="BO67" s="90"/>
      <c r="BP67" s="77"/>
      <c r="BQ67" s="92"/>
      <c r="BR67" s="90"/>
      <c r="BS67" s="90"/>
      <c r="BT67" s="90"/>
      <c r="BU67" s="90"/>
      <c r="BV67" s="90"/>
      <c r="BW67" s="90"/>
      <c r="BX67" s="90"/>
      <c r="BY67" s="90"/>
      <c r="BZ67" s="90"/>
      <c r="CA67" s="90"/>
    </row>
    <row r="68" spans="2:79" ht="21" customHeight="1" x14ac:dyDescent="0.15">
      <c r="D68" s="77" t="s">
        <v>1</v>
      </c>
      <c r="E68" s="153" t="e">
        <f>ROUNDDOWN(SUMPRODUCT($T$38,$E$38,$AC$38),0)</f>
        <v>#VALUE!</v>
      </c>
      <c r="F68" s="153"/>
      <c r="G68" s="153"/>
      <c r="H68" s="153" t="e">
        <f>ROUNDDOWN(ROUNDDOWN(SUMPRODUCT($T$38,$E$38,$AC$38),0)*$E$3%,0)</f>
        <v>#VALUE!</v>
      </c>
      <c r="I68" s="153"/>
      <c r="J68" s="153"/>
      <c r="K68" s="153" t="e">
        <f>IF($E$66=0,ROUNDDOWN(SUMPRODUCT($E$38,$AC$38,$AD$38),0),IF($E$66=1,ROUNDDOWN(SUMPRODUCT($E$38,$AH$38,$AI$38),0),"ERROR"))</f>
        <v>#VALUE!</v>
      </c>
      <c r="L68" s="153"/>
      <c r="M68" s="153"/>
      <c r="N68" s="153" t="e">
        <f>IF(D38=AM39,0,ROUNDDOWN(MAX($E$38:$F$45)*$M$3/12,0)/$E$46)</f>
        <v>#DIV/0!</v>
      </c>
      <c r="O68" s="153"/>
      <c r="P68" s="153"/>
      <c r="Q68" s="153" t="str">
        <f>IF($AC$37=0,"軽減なし",$AC$37&amp;"割軽減")</f>
        <v>7割軽減</v>
      </c>
      <c r="R68" s="153"/>
      <c r="S68" s="153"/>
      <c r="T68" s="153" t="e">
        <f>ROUNDDOWN(K68*$AD$37,0)</f>
        <v>#VALUE!</v>
      </c>
      <c r="U68" s="153"/>
      <c r="V68" s="153"/>
      <c r="W68" s="153" t="e">
        <f>ROUNDDOWN(N68*$AE$37,0)</f>
        <v>#DIV/0!</v>
      </c>
      <c r="X68" s="153"/>
      <c r="Y68" s="153"/>
      <c r="Z68" s="76" t="s">
        <v>0</v>
      </c>
      <c r="AA68" s="153" t="e">
        <f>SUM(K68:P68,H68)-SUM(T68:Y68)</f>
        <v>#VALUE!</v>
      </c>
      <c r="AB68" s="153"/>
      <c r="AC68" s="153"/>
      <c r="AD68" s="76" t="s">
        <v>8</v>
      </c>
      <c r="AE68" s="153" t="e">
        <f>IF(AA68&gt;$Q$3/12*$E$38,ROUNDDOWN($Q$3/12*$E$38,0),ROUNDDOWN(AA68,-2))</f>
        <v>#VALUE!</v>
      </c>
      <c r="AF68" s="153"/>
      <c r="AG68" s="153"/>
      <c r="AS68" s="41">
        <f>IF(AND($AX$80&gt;=AT68,$AX$80&lt;=AX68),1,0)</f>
        <v>1</v>
      </c>
      <c r="AT68" s="87">
        <v>0</v>
      </c>
      <c r="AU68" s="87"/>
      <c r="AV68" s="87"/>
      <c r="AW68" s="79" t="s">
        <v>37</v>
      </c>
      <c r="AX68" s="87">
        <v>550999</v>
      </c>
      <c r="AY68" s="87"/>
      <c r="AZ68" s="87"/>
      <c r="BA68" s="88">
        <f>IF(AS68=1,0,0)</f>
        <v>0</v>
      </c>
      <c r="BB68" s="88"/>
      <c r="BC68" s="88"/>
      <c r="BE68" s="41">
        <f>IF(AND($BJ$80&gt;=BF68,$BJ$80&lt;=BJ68,$BL$84&lt;=10000000),1,(IF(AND($BJ$80&gt;=BF68,$BJ$80&lt;=BJ68,$BL$84&gt;10000000,$BL$84&lt;=20000000),2,(IF(AND($BJ$80&gt;=BF68,$BJ$80&lt;=BJ68,$BL$84&gt;20000000),3,0)))))</f>
        <v>1</v>
      </c>
      <c r="BF68" s="87">
        <v>0</v>
      </c>
      <c r="BG68" s="87"/>
      <c r="BH68" s="87"/>
      <c r="BI68" s="79" t="s">
        <v>37</v>
      </c>
      <c r="BJ68" s="87">
        <v>1299999</v>
      </c>
      <c r="BK68" s="87"/>
      <c r="BL68" s="87"/>
      <c r="BM68" s="88">
        <f>MAX(IF(BE68=1,BJ80-600000,IF(BE68=2,BJ80-500000,IF(BE68=3,BJ80-400000,0))),)</f>
        <v>0</v>
      </c>
      <c r="BN68" s="88"/>
      <c r="BO68" s="88"/>
      <c r="BP68" s="49"/>
      <c r="BQ68" s="41">
        <f>IF(AND($BV$80&gt;=BR68,$BV$80&lt;=BV68,$BX$84&lt;=10000000),1,(IF(AND($BV$80&gt;=BR68,$BV$80&lt;=BV68,$BX$84&gt;10000000,$BX$84&lt;=20000000),2,(IF(AND($BV$80&gt;=BR68,$BV$80&lt;=BV68,$BX$84&gt;20000000),3,0)))))</f>
        <v>1</v>
      </c>
      <c r="BR68" s="87">
        <v>0</v>
      </c>
      <c r="BS68" s="87"/>
      <c r="BT68" s="87"/>
      <c r="BU68" s="79" t="s">
        <v>37</v>
      </c>
      <c r="BV68" s="87">
        <v>3299999</v>
      </c>
      <c r="BW68" s="87"/>
      <c r="BX68" s="87"/>
      <c r="BY68" s="88">
        <f>MAX(IF(BQ68=1,BV80-1100000,IF(BQ68=2,BV80-1000000,IF(BQ68=3,BV80-900000,0))),)</f>
        <v>0</v>
      </c>
      <c r="BZ68" s="88"/>
      <c r="CA68" s="88"/>
    </row>
    <row r="69" spans="2:79" ht="19.5" customHeight="1" x14ac:dyDescent="0.15">
      <c r="D69" s="77" t="s">
        <v>2</v>
      </c>
      <c r="E69" s="153" t="e">
        <f>ROUNDDOWN(SUMPRODUCT($T$38,$E$38,$AC$38),0)</f>
        <v>#VALUE!</v>
      </c>
      <c r="F69" s="153"/>
      <c r="G69" s="153"/>
      <c r="H69" s="153" t="e">
        <f>ROUNDDOWN(ROUNDDOWN(SUMPRODUCT($T$38,$E$38,$AC$38),0)*$E$4%,0)</f>
        <v>#VALUE!</v>
      </c>
      <c r="I69" s="153"/>
      <c r="J69" s="153"/>
      <c r="K69" s="153" t="e">
        <f>IF($E$66=0,ROUNDDOWN(SUMPRODUCT($E$38,$AC$38,$AE$38),0),IF($E$66=1,ROUNDDOWN(SUMPRODUCT($E$38,$AH$38,$AJ$38),0),"ERROR"))</f>
        <v>#VALUE!</v>
      </c>
      <c r="L69" s="153"/>
      <c r="M69" s="153"/>
      <c r="N69" s="153" t="e">
        <f>IF(D38=AM39,0,ROUNDDOWN(MAX($E$38:$F$45)*$M$4/12,0)/$E$46)</f>
        <v>#DIV/0!</v>
      </c>
      <c r="O69" s="153"/>
      <c r="P69" s="153"/>
      <c r="Q69" s="153" t="str">
        <f>IF($AC$37=0,"軽減なし",$AC$37&amp;"割軽減")</f>
        <v>7割軽減</v>
      </c>
      <c r="R69" s="153"/>
      <c r="S69" s="153"/>
      <c r="T69" s="153" t="e">
        <f>ROUNDDOWN(K69*$AD$37,0)</f>
        <v>#VALUE!</v>
      </c>
      <c r="U69" s="153"/>
      <c r="V69" s="153"/>
      <c r="W69" s="153" t="e">
        <f>ROUNDDOWN(N69*$AE$37,0)</f>
        <v>#DIV/0!</v>
      </c>
      <c r="X69" s="153"/>
      <c r="Y69" s="153"/>
      <c r="Z69" s="76" t="s">
        <v>0</v>
      </c>
      <c r="AA69" s="153" t="e">
        <f>SUM(K69:P69,H69)-SUM(T69:Y69)</f>
        <v>#VALUE!</v>
      </c>
      <c r="AB69" s="153"/>
      <c r="AC69" s="153"/>
      <c r="AD69" s="76" t="s">
        <v>8</v>
      </c>
      <c r="AE69" s="153" t="e">
        <f>IF(AA69&gt;$Q$4/12*$E$38,ROUNDDOWN($Q$4/12*$E$38,0),ROUNDDOWN(AA69,-2))</f>
        <v>#VALUE!</v>
      </c>
      <c r="AF69" s="153"/>
      <c r="AG69" s="153"/>
      <c r="AS69" s="41">
        <f t="shared" ref="AS69:AS77" si="22">IF(AND($AX$80&gt;=AT69,$AX$80&lt;=AX69),1,0)</f>
        <v>0</v>
      </c>
      <c r="AT69" s="87">
        <v>551000</v>
      </c>
      <c r="AU69" s="87"/>
      <c r="AV69" s="87"/>
      <c r="AW69" s="79" t="s">
        <v>37</v>
      </c>
      <c r="AX69" s="87">
        <v>1618999</v>
      </c>
      <c r="AY69" s="87"/>
      <c r="AZ69" s="87"/>
      <c r="BA69" s="88">
        <f>IF(AS69=1,AX80-550000,0)</f>
        <v>0</v>
      </c>
      <c r="BB69" s="88"/>
      <c r="BC69" s="88"/>
      <c r="BE69" s="41">
        <f>IF(AND($BJ$80&gt;=BF69,$BJ$80&lt;=BJ69,$BL$84&lt;=10000000),1,(IF(AND($BJ$80&gt;=BF69,$BJ$80&lt;=BJ69,$BL$84&gt;10000000,$BL$84&lt;=20000000),2,(IF(AND($BJ$80&gt;=BF69,$BJ$80&lt;=BJ69,$BL$84&gt;20000000),3,0)))))</f>
        <v>0</v>
      </c>
      <c r="BF69" s="87">
        <v>1300000</v>
      </c>
      <c r="BG69" s="87"/>
      <c r="BH69" s="87"/>
      <c r="BI69" s="79" t="s">
        <v>37</v>
      </c>
      <c r="BJ69" s="87">
        <v>4099999</v>
      </c>
      <c r="BK69" s="87"/>
      <c r="BL69" s="87"/>
      <c r="BM69" s="88">
        <f>IF(BE69=1,BJ80*0.75-275000,IF(BE69=2,BJ80*0.75-175000,IF(BE69=3,BJ80*0.75-75000,0)))</f>
        <v>0</v>
      </c>
      <c r="BN69" s="88"/>
      <c r="BO69" s="88"/>
      <c r="BP69" s="49"/>
      <c r="BQ69" s="41">
        <f>IF(AND($BV$80&gt;=BR69,$BV$80&lt;=BV69,$BX$84&lt;=10000000),1,(IF(AND($BV$80&gt;=BR69,$BV$80&lt;=BV69,$BX$84&gt;10000000,$BX$84&lt;=20000000),2,(IF(AND($BV$80&gt;=BR69,$BV$80&lt;=BV69,$BX$84&gt;20000000),3,0)))))</f>
        <v>0</v>
      </c>
      <c r="BR69" s="87">
        <v>3300000</v>
      </c>
      <c r="BS69" s="87"/>
      <c r="BT69" s="87"/>
      <c r="BU69" s="79" t="s">
        <v>37</v>
      </c>
      <c r="BV69" s="87">
        <v>4099999</v>
      </c>
      <c r="BW69" s="87"/>
      <c r="BX69" s="87"/>
      <c r="BY69" s="88">
        <f>IF(BQ69=1,BV80*0.75-275000,IF(BQ69=2,BV80*0.75-175000,IF(BQ69=3,BV80*0.75-75000,0)))</f>
        <v>0</v>
      </c>
      <c r="BZ69" s="88"/>
      <c r="CA69" s="88"/>
    </row>
    <row r="70" spans="2:79" ht="24.75" customHeight="1" x14ac:dyDescent="0.15">
      <c r="D70" s="77" t="s">
        <v>3</v>
      </c>
      <c r="E70" s="153" t="e">
        <f>ROUNDDOWN(SUMPRODUCT($T$38,$G$38,$AC$38),0)</f>
        <v>#VALUE!</v>
      </c>
      <c r="F70" s="153"/>
      <c r="G70" s="153"/>
      <c r="H70" s="153" t="e">
        <f>ROUNDDOWN(ROUNDDOWN(SUMPRODUCT($T$38,$G$38,$AC$38),0)*$E$5%,0)</f>
        <v>#VALUE!</v>
      </c>
      <c r="I70" s="153"/>
      <c r="J70" s="153"/>
      <c r="K70" s="153" t="e">
        <f>IF($E$66=0,ROUNDDOWN(SUMPRODUCT($G$38,$AC$38,$AF$38),0),IF($E$66=1,ROUNDDOWN(SUMPRODUCT($G$38,$AH$38,$AK$38),0),"ERROR"))</f>
        <v>#VALUE!</v>
      </c>
      <c r="L70" s="153"/>
      <c r="M70" s="153"/>
      <c r="N70" s="153" t="e">
        <f>IF(K70=0,0,$M$5)</f>
        <v>#VALUE!</v>
      </c>
      <c r="O70" s="153"/>
      <c r="P70" s="153"/>
      <c r="Q70" s="153" t="str">
        <f>IF($AC$37=0,"軽減なし",$AC$37&amp;"割軽減")</f>
        <v>7割軽減</v>
      </c>
      <c r="R70" s="153"/>
      <c r="S70" s="153"/>
      <c r="T70" s="153" t="e">
        <f>ROUNDDOWN(K70*$AD$37,0)</f>
        <v>#VALUE!</v>
      </c>
      <c r="U70" s="153"/>
      <c r="V70" s="153"/>
      <c r="W70" s="153" t="e">
        <f>ROUNDDOWN(N70*$AE$37,0)</f>
        <v>#VALUE!</v>
      </c>
      <c r="X70" s="153"/>
      <c r="Y70" s="153"/>
      <c r="Z70" s="76" t="s">
        <v>0</v>
      </c>
      <c r="AA70" s="153" t="e">
        <f>SUM(K70:P70,H70)-SUM(T70:Y70)</f>
        <v>#VALUE!</v>
      </c>
      <c r="AB70" s="153"/>
      <c r="AC70" s="153"/>
      <c r="AD70" s="76" t="s">
        <v>8</v>
      </c>
      <c r="AE70" s="153" t="e">
        <f>IF(AA70&gt;$Q$5/12*$G$38,ROUNDDOWN($Q$5/12*$G$38,0),ROUNDDOWN(AA70,-2))</f>
        <v>#VALUE!</v>
      </c>
      <c r="AF70" s="153"/>
      <c r="AG70" s="153"/>
      <c r="AS70" s="41">
        <f t="shared" si="22"/>
        <v>0</v>
      </c>
      <c r="AT70" s="87">
        <v>1619000</v>
      </c>
      <c r="AU70" s="87"/>
      <c r="AV70" s="87"/>
      <c r="AW70" s="79" t="s">
        <v>37</v>
      </c>
      <c r="AX70" s="87">
        <v>1619999</v>
      </c>
      <c r="AY70" s="87"/>
      <c r="AZ70" s="87"/>
      <c r="BA70" s="88">
        <f>IF(AS70=1,1069000,0)</f>
        <v>0</v>
      </c>
      <c r="BB70" s="88"/>
      <c r="BC70" s="88"/>
      <c r="BE70" s="41">
        <f>IF(AND($BJ$80&gt;=BF70,$BJ$80&lt;=BJ70,$BL$84&lt;=10000000),1,(IF(AND($BJ$80&gt;=BF70,$BJ$80&lt;=BJ70,$BL$84&gt;10000000,$BL$84&lt;=20000000),2,(IF(AND($BJ$80&gt;=BF70,$BJ$80&lt;=BJ70,$BL$84&gt;20000000),3,0)))))</f>
        <v>0</v>
      </c>
      <c r="BF70" s="87">
        <v>4100000</v>
      </c>
      <c r="BG70" s="87"/>
      <c r="BH70" s="87"/>
      <c r="BI70" s="79" t="s">
        <v>37</v>
      </c>
      <c r="BJ70" s="87">
        <v>7699999</v>
      </c>
      <c r="BK70" s="87"/>
      <c r="BL70" s="87"/>
      <c r="BM70" s="88">
        <f>IF(BE70=1,BJ80*0.85-685000,IF(BE70=2,BJ80*0.85-585000,IF(BE70=3,BJ80*0.85-485000,0)))</f>
        <v>0</v>
      </c>
      <c r="BN70" s="88"/>
      <c r="BO70" s="88"/>
      <c r="BP70" s="49"/>
      <c r="BQ70" s="41">
        <f>IF(AND($BV$80&gt;=BR70,$BV$80&lt;=BV70,$BX$84&lt;=10000000),1,(IF(AND($BV$80&gt;=BR70,$BV$80&lt;=BV70,$BX$84&gt;10000000,$BX$84&lt;=20000000),2,(IF(AND($BV$80&gt;=BR70,$BV$80&lt;=BV70,$BX$84&gt;20000000),3,0)))))</f>
        <v>0</v>
      </c>
      <c r="BR70" s="87">
        <v>4100000</v>
      </c>
      <c r="BS70" s="87"/>
      <c r="BT70" s="87"/>
      <c r="BU70" s="79" t="s">
        <v>37</v>
      </c>
      <c r="BV70" s="87">
        <v>7699999</v>
      </c>
      <c r="BW70" s="87"/>
      <c r="BX70" s="87"/>
      <c r="BY70" s="88">
        <f>IF(BQ70=1,BV80*0.85-685000,IF(BQ70=2,BV80*0.85-585000,IF(BQ70=3,BV80*0.85-485000,0)))</f>
        <v>0</v>
      </c>
      <c r="BZ70" s="88"/>
      <c r="CA70" s="88"/>
    </row>
    <row r="71" spans="2:79" x14ac:dyDescent="0.15">
      <c r="AS71" s="41">
        <f t="shared" si="22"/>
        <v>0</v>
      </c>
      <c r="AT71" s="87">
        <v>1620000</v>
      </c>
      <c r="AU71" s="87"/>
      <c r="AV71" s="87"/>
      <c r="AW71" s="79" t="s">
        <v>37</v>
      </c>
      <c r="AX71" s="87">
        <v>1621999</v>
      </c>
      <c r="AY71" s="87"/>
      <c r="AZ71" s="87"/>
      <c r="BA71" s="88">
        <f>IF(AS71=1,1070000,0)</f>
        <v>0</v>
      </c>
      <c r="BB71" s="88"/>
      <c r="BC71" s="88"/>
      <c r="BE71" s="41">
        <f>IF(AND($BJ$80&gt;=BF71,$BJ$80&lt;=BJ71,$BL$84&lt;=10000000),1,(IF(AND($BJ$80&gt;=BF71,$BJ$80&lt;=BJ71,$BL$84&gt;10000000,$BL$84&lt;=20000000),2,(IF(AND($BJ$80&gt;=BF71,$BJ$80&lt;=BJ71,$BL$84&gt;20000000),3,0)))))</f>
        <v>0</v>
      </c>
      <c r="BF71" s="87">
        <v>7700000</v>
      </c>
      <c r="BG71" s="87"/>
      <c r="BH71" s="87"/>
      <c r="BI71" s="79" t="s">
        <v>37</v>
      </c>
      <c r="BJ71" s="87">
        <v>9999999</v>
      </c>
      <c r="BK71" s="87"/>
      <c r="BL71" s="87"/>
      <c r="BM71" s="88">
        <f>IF(BE71=1,BJ80*0.95-1455000,IF(BE71=2,BJ80*0.95-1355000,IF(BE71=3,BJ80*0.95-1255000,0)))</f>
        <v>0</v>
      </c>
      <c r="BN71" s="88"/>
      <c r="BO71" s="88"/>
      <c r="BP71" s="49"/>
      <c r="BQ71" s="41">
        <f>IF(AND($BV$80&gt;=BR71,$BV$80&lt;=BV71,$BX$84&lt;=10000000),1,(IF(AND($BV$80&gt;=BR71,$BV$80&lt;=BV71,$BX$84&gt;10000000,$BX$84&lt;=20000000),2,(IF(AND($BV$80&gt;=BR71,$BV$80&lt;=BV71,$BX$84&gt;20000000),3,0)))))</f>
        <v>0</v>
      </c>
      <c r="BR71" s="87">
        <v>7700000</v>
      </c>
      <c r="BS71" s="87"/>
      <c r="BT71" s="87"/>
      <c r="BU71" s="79" t="s">
        <v>37</v>
      </c>
      <c r="BV71" s="87">
        <v>9999999</v>
      </c>
      <c r="BW71" s="87"/>
      <c r="BX71" s="87"/>
      <c r="BY71" s="88">
        <f>IF(BQ71=1,BV80*0.95-1455000,IF(BQ71=2,BV80*0.95-1355000,IF(BQ71=3,BV80*0.95-1255000,0)))</f>
        <v>0</v>
      </c>
      <c r="BZ71" s="88"/>
      <c r="CA71" s="88"/>
    </row>
    <row r="72" spans="2:79" x14ac:dyDescent="0.15">
      <c r="B72" s="2" t="s">
        <v>92</v>
      </c>
      <c r="D72" s="78" t="s">
        <v>91</v>
      </c>
      <c r="E72" s="65">
        <f>IF($E$22&lt;6,1,IF($E$22&gt;=6,0,"ERROR"))</f>
        <v>1</v>
      </c>
      <c r="I72" s="65"/>
      <c r="AS72" s="41">
        <f t="shared" si="22"/>
        <v>0</v>
      </c>
      <c r="AT72" s="87">
        <v>1622000</v>
      </c>
      <c r="AU72" s="87"/>
      <c r="AV72" s="87"/>
      <c r="AW72" s="79" t="s">
        <v>37</v>
      </c>
      <c r="AX72" s="87">
        <v>1623999</v>
      </c>
      <c r="AY72" s="87"/>
      <c r="AZ72" s="87"/>
      <c r="BA72" s="88">
        <f>IF(AS72=1,1072000,0)</f>
        <v>0</v>
      </c>
      <c r="BB72" s="88"/>
      <c r="BC72" s="88"/>
      <c r="BE72" s="41">
        <f>IF(AND($BJ$80&gt;=BF72,$BL$84&lt;=10000000),1,(IF(AND($BJ$80&gt;=BF72,$BL$84&gt;10000000,$BL$84&lt;=20000000),2,(IF(AND($BJ$80&gt;=BF72,$BL$84&gt;20000000),3,0)))))</f>
        <v>0</v>
      </c>
      <c r="BF72" s="87">
        <v>10000000</v>
      </c>
      <c r="BG72" s="87"/>
      <c r="BH72" s="87"/>
      <c r="BI72" s="79" t="s">
        <v>37</v>
      </c>
      <c r="BJ72" s="87"/>
      <c r="BK72" s="87"/>
      <c r="BL72" s="87"/>
      <c r="BM72" s="88">
        <f>IF(BE72=1,BJ80-1955000,IF(BE72=2,BJ80-1855000,IF(BE72=3,BJ80-1755000,0)))</f>
        <v>0</v>
      </c>
      <c r="BN72" s="88"/>
      <c r="BO72" s="88"/>
      <c r="BP72" s="49"/>
      <c r="BQ72" s="41">
        <f>IF(AND($BV$80&gt;=BR72,$BX$84&lt;=10000000),1,(IF(AND($BV$80&gt;=BR72,$BX$84&gt;10000000,$BX$84&lt;=20000000),2,(IF(AND($BV$80&gt;=BR72,$BX$84&gt;20000000),3,0)))))</f>
        <v>0</v>
      </c>
      <c r="BR72" s="87">
        <v>10000000</v>
      </c>
      <c r="BS72" s="87"/>
      <c r="BT72" s="87"/>
      <c r="BU72" s="79" t="s">
        <v>37</v>
      </c>
      <c r="BV72" s="87"/>
      <c r="BW72" s="87"/>
      <c r="BX72" s="87"/>
      <c r="BY72" s="88">
        <f>IF(BQ72=1,BV80-1955000,IF(BQ72=2,BV80-1855000,IF(BQ72=3,BV80-1755000,0)))</f>
        <v>0</v>
      </c>
      <c r="BZ72" s="88"/>
      <c r="CA72" s="88"/>
    </row>
    <row r="73" spans="2:79" ht="39" customHeight="1" x14ac:dyDescent="0.15">
      <c r="D73" s="77"/>
      <c r="E73" s="154" t="s">
        <v>20</v>
      </c>
      <c r="F73" s="155"/>
      <c r="G73" s="155"/>
      <c r="H73" s="152" t="s">
        <v>7</v>
      </c>
      <c r="I73" s="152"/>
      <c r="J73" s="152"/>
      <c r="K73" s="152" t="s">
        <v>28</v>
      </c>
      <c r="L73" s="152"/>
      <c r="M73" s="152"/>
      <c r="N73" s="152" t="s">
        <v>29</v>
      </c>
      <c r="O73" s="152"/>
      <c r="P73" s="152"/>
      <c r="Q73" s="152" t="s">
        <v>6</v>
      </c>
      <c r="R73" s="152"/>
      <c r="S73" s="152"/>
      <c r="T73" s="156" t="s">
        <v>71</v>
      </c>
      <c r="U73" s="152"/>
      <c r="V73" s="152"/>
      <c r="W73" s="156" t="s">
        <v>72</v>
      </c>
      <c r="X73" s="152"/>
      <c r="Y73" s="152"/>
      <c r="AA73" s="152" t="s">
        <v>73</v>
      </c>
      <c r="AB73" s="152"/>
      <c r="AC73" s="152"/>
      <c r="AD73" s="77"/>
      <c r="AE73" s="152" t="s">
        <v>74</v>
      </c>
      <c r="AF73" s="152"/>
      <c r="AG73" s="152"/>
      <c r="AS73" s="41">
        <f t="shared" si="22"/>
        <v>0</v>
      </c>
      <c r="AT73" s="87">
        <v>1624000</v>
      </c>
      <c r="AU73" s="87"/>
      <c r="AV73" s="87"/>
      <c r="AW73" s="79" t="s">
        <v>37</v>
      </c>
      <c r="AX73" s="87">
        <v>1627999</v>
      </c>
      <c r="AY73" s="87"/>
      <c r="AZ73" s="87"/>
      <c r="BA73" s="88">
        <f>IF(AS73=1,1074000,0)</f>
        <v>0</v>
      </c>
      <c r="BB73" s="88"/>
      <c r="BC73" s="88"/>
      <c r="BE73" s="41"/>
      <c r="BF73" s="87"/>
      <c r="BG73" s="87"/>
      <c r="BH73" s="87"/>
      <c r="BI73" s="79" t="s">
        <v>37</v>
      </c>
      <c r="BJ73" s="87"/>
      <c r="BK73" s="87"/>
      <c r="BL73" s="87"/>
      <c r="BM73" s="88"/>
      <c r="BN73" s="88"/>
      <c r="BO73" s="88"/>
      <c r="BP73" s="49"/>
      <c r="BQ73" s="41"/>
      <c r="BR73" s="87"/>
      <c r="BS73" s="87"/>
      <c r="BT73" s="87"/>
      <c r="BU73" s="79" t="s">
        <v>37</v>
      </c>
      <c r="BV73" s="87"/>
      <c r="BW73" s="87"/>
      <c r="BX73" s="87"/>
      <c r="BY73" s="88"/>
      <c r="BZ73" s="88"/>
      <c r="CA73" s="88"/>
    </row>
    <row r="74" spans="2:79" ht="21" customHeight="1" x14ac:dyDescent="0.15">
      <c r="D74" s="77" t="s">
        <v>1</v>
      </c>
      <c r="E74" s="153">
        <f>IF($E$39="",0,ROUNDDOWN(SUMPRODUCT($T$39,$E$39,$AC$39),0))</f>
        <v>0</v>
      </c>
      <c r="F74" s="153"/>
      <c r="G74" s="153"/>
      <c r="H74" s="153">
        <f>IF($E$39="",0,ROUNDDOWN(ROUNDDOWN(SUMPRODUCT($T$39,$E$39,$AC$39),0)*$E$3%,0))</f>
        <v>0</v>
      </c>
      <c r="I74" s="153"/>
      <c r="J74" s="153"/>
      <c r="K74" s="153">
        <f>IF($E$39="",0,IF($E$72=0,ROUNDDOWN(($E$39*$AC$39*$AD$39),0),IF($E$72=1,ROUNDDOWN(($E$39*$AH$39*$AI$39),0),"ERROR")))</f>
        <v>0</v>
      </c>
      <c r="L74" s="153"/>
      <c r="M74" s="153"/>
      <c r="N74" s="153">
        <f>IF($E$39="",0,ROUNDDOWN(MAX($E$38:$F$45)*$M$3/12,0)/$E$46)</f>
        <v>0</v>
      </c>
      <c r="O74" s="153"/>
      <c r="P74" s="153"/>
      <c r="Q74" s="153" t="str">
        <f>IF($AC$37=0,"軽減なし",$AC$37&amp;"割軽減")</f>
        <v>7割軽減</v>
      </c>
      <c r="R74" s="153"/>
      <c r="S74" s="153"/>
      <c r="T74" s="153">
        <f>ROUNDDOWN(K74*$AD$37,0)</f>
        <v>0</v>
      </c>
      <c r="U74" s="153"/>
      <c r="V74" s="153"/>
      <c r="W74" s="153">
        <f>ROUNDDOWN(N74*$AE$37,0)</f>
        <v>0</v>
      </c>
      <c r="X74" s="153"/>
      <c r="Y74" s="153"/>
      <c r="Z74" s="76" t="s">
        <v>0</v>
      </c>
      <c r="AA74" s="153">
        <f>SUM(K74:P74,H74)-SUM(T74:Y74)</f>
        <v>0</v>
      </c>
      <c r="AB74" s="153"/>
      <c r="AC74" s="153"/>
      <c r="AD74" s="76" t="s">
        <v>8</v>
      </c>
      <c r="AE74" s="153">
        <f>IF($E$39="",0,IF(AA74&gt;$Q$3/12*$E$39,ROUNDDOWN($Q$3/12*$E$39,0),ROUNDDOWN(AA74,-2)))</f>
        <v>0</v>
      </c>
      <c r="AF74" s="153"/>
      <c r="AG74" s="153"/>
      <c r="AS74" s="41">
        <f t="shared" si="22"/>
        <v>0</v>
      </c>
      <c r="AT74" s="87">
        <v>1628000</v>
      </c>
      <c r="AU74" s="87"/>
      <c r="AV74" s="87"/>
      <c r="AW74" s="79" t="s">
        <v>37</v>
      </c>
      <c r="AX74" s="87">
        <v>1799999</v>
      </c>
      <c r="AY74" s="87"/>
      <c r="AZ74" s="87"/>
      <c r="BA74" s="88">
        <f>IF(AS74=1,ROUNDDOWN(AX80/4,-3)*2.4+100000,0)</f>
        <v>0</v>
      </c>
      <c r="BB74" s="88"/>
      <c r="BC74" s="88"/>
      <c r="BE74" s="41"/>
      <c r="BF74" s="87"/>
      <c r="BG74" s="87"/>
      <c r="BH74" s="87"/>
      <c r="BI74" s="79" t="s">
        <v>37</v>
      </c>
      <c r="BJ74" s="87"/>
      <c r="BK74" s="87"/>
      <c r="BL74" s="87"/>
      <c r="BM74" s="88"/>
      <c r="BN74" s="88"/>
      <c r="BO74" s="88"/>
      <c r="BP74" s="49"/>
      <c r="BQ74" s="41"/>
      <c r="BR74" s="87"/>
      <c r="BS74" s="87"/>
      <c r="BT74" s="87"/>
      <c r="BU74" s="79" t="s">
        <v>37</v>
      </c>
      <c r="BV74" s="87"/>
      <c r="BW74" s="87"/>
      <c r="BX74" s="87"/>
      <c r="BY74" s="88"/>
      <c r="BZ74" s="88"/>
      <c r="CA74" s="88"/>
    </row>
    <row r="75" spans="2:79" ht="21" customHeight="1" x14ac:dyDescent="0.15">
      <c r="D75" s="77" t="s">
        <v>2</v>
      </c>
      <c r="E75" s="153">
        <f>IF($E$39="",0,ROUNDDOWN(SUMPRODUCT($T$39,$E$39,$AC$39),0))</f>
        <v>0</v>
      </c>
      <c r="F75" s="153"/>
      <c r="G75" s="153"/>
      <c r="H75" s="153">
        <f>IF($E$39="",0,ROUNDDOWN(ROUNDDOWN(SUMPRODUCT($T$39,$E$39,$AC$39),0)*$E$4%,0))</f>
        <v>0</v>
      </c>
      <c r="I75" s="153"/>
      <c r="J75" s="153"/>
      <c r="K75" s="153">
        <f>IF($E$39="",0,IF($E$72=0,ROUNDDOWN(($E$39*$AC$39*$AE$39),0),IF($E$72=1,ROUNDDOWN(($E$39*$AH$39*$AJ$39),0),"ERROR")))</f>
        <v>0</v>
      </c>
      <c r="L75" s="153"/>
      <c r="M75" s="153"/>
      <c r="N75" s="153">
        <f>IF($E$39="",0,ROUNDDOWN(MAX($E$38:$F$45)*$M$4/12,0)/$E$46)</f>
        <v>0</v>
      </c>
      <c r="O75" s="153"/>
      <c r="P75" s="153"/>
      <c r="Q75" s="153" t="str">
        <f>IF($AC$37=0,"軽減なし",$AC$37&amp;"割軽減")</f>
        <v>7割軽減</v>
      </c>
      <c r="R75" s="153"/>
      <c r="S75" s="153"/>
      <c r="T75" s="153">
        <f>ROUNDDOWN(K75*$AD$37,0)</f>
        <v>0</v>
      </c>
      <c r="U75" s="153"/>
      <c r="V75" s="153"/>
      <c r="W75" s="153">
        <f>ROUNDDOWN(N75*$AE$37,0)</f>
        <v>0</v>
      </c>
      <c r="X75" s="153"/>
      <c r="Y75" s="153"/>
      <c r="Z75" s="76" t="s">
        <v>0</v>
      </c>
      <c r="AA75" s="153">
        <f>SUM(K75:P75,H75)-SUM(T75:Y75)</f>
        <v>0</v>
      </c>
      <c r="AB75" s="153"/>
      <c r="AC75" s="153"/>
      <c r="AD75" s="76" t="s">
        <v>8</v>
      </c>
      <c r="AE75" s="153">
        <f>IF($E$39="",0,IF(AA75&gt;$Q$4/12*$E$39,ROUNDDOWN($Q$4/12*$E$39,0),ROUNDDOWN(AA75,-2)))</f>
        <v>0</v>
      </c>
      <c r="AF75" s="153"/>
      <c r="AG75" s="153"/>
      <c r="AS75" s="41">
        <f t="shared" si="22"/>
        <v>0</v>
      </c>
      <c r="AT75" s="87">
        <v>1800000</v>
      </c>
      <c r="AU75" s="87"/>
      <c r="AV75" s="87"/>
      <c r="AW75" s="79" t="s">
        <v>37</v>
      </c>
      <c r="AX75" s="87">
        <v>3599999</v>
      </c>
      <c r="AY75" s="87"/>
      <c r="AZ75" s="87"/>
      <c r="BA75" s="88">
        <f>IF(AS75=1,ROUNDDOWN(AX80/4,-3)*2.8-80000,0)</f>
        <v>0</v>
      </c>
      <c r="BB75" s="88"/>
      <c r="BC75" s="88"/>
      <c r="BE75" s="41"/>
      <c r="BF75" s="87"/>
      <c r="BG75" s="87"/>
      <c r="BH75" s="87"/>
      <c r="BI75" s="79" t="s">
        <v>37</v>
      </c>
      <c r="BJ75" s="87"/>
      <c r="BK75" s="87"/>
      <c r="BL75" s="87"/>
      <c r="BM75" s="88"/>
      <c r="BN75" s="88"/>
      <c r="BO75" s="88"/>
      <c r="BP75" s="49"/>
      <c r="BQ75" s="41"/>
      <c r="BR75" s="87"/>
      <c r="BS75" s="87"/>
      <c r="BT75" s="87"/>
      <c r="BU75" s="79" t="s">
        <v>37</v>
      </c>
      <c r="BV75" s="87"/>
      <c r="BW75" s="87"/>
      <c r="BX75" s="87"/>
      <c r="BY75" s="88"/>
      <c r="BZ75" s="88"/>
      <c r="CA75" s="88"/>
    </row>
    <row r="76" spans="2:79" ht="21" customHeight="1" x14ac:dyDescent="0.15">
      <c r="D76" s="77" t="s">
        <v>3</v>
      </c>
      <c r="E76" s="153">
        <f>IF($E$39="",0,ROUNDDOWN(SUMPRODUCT($T$39,$G$39,$AC$39),0))</f>
        <v>0</v>
      </c>
      <c r="F76" s="153"/>
      <c r="G76" s="153"/>
      <c r="H76" s="153">
        <f>IF($E$39="",0,ROUNDDOWN(ROUNDDOWN(SUMPRODUCT($T$39,$G$39,$AC$39),0)*$E$5%,0))</f>
        <v>0</v>
      </c>
      <c r="I76" s="153"/>
      <c r="J76" s="153"/>
      <c r="K76" s="153">
        <f>IF($E$39="",0,IF($E$72=0,ROUNDDOWN(($G$39*$AC$39*$AF$39),0),IF($E$72=1,ROUNDDOWN(($G$39*$AH$39*$AK$39),0),"ERROR")))</f>
        <v>0</v>
      </c>
      <c r="L76" s="153"/>
      <c r="M76" s="153"/>
      <c r="N76" s="153">
        <f>IF(K76=0,0,$M$5)</f>
        <v>0</v>
      </c>
      <c r="O76" s="153"/>
      <c r="P76" s="153"/>
      <c r="Q76" s="153" t="str">
        <f>IF($AC$37=0,"軽減なし",$AC$37&amp;"割軽減")</f>
        <v>7割軽減</v>
      </c>
      <c r="R76" s="153"/>
      <c r="S76" s="153"/>
      <c r="T76" s="153">
        <f>ROUNDDOWN(K76*$AD$37,0)</f>
        <v>0</v>
      </c>
      <c r="U76" s="153"/>
      <c r="V76" s="153"/>
      <c r="W76" s="153">
        <f>ROUNDDOWN(N76*$AE$37,0)</f>
        <v>0</v>
      </c>
      <c r="X76" s="153"/>
      <c r="Y76" s="153"/>
      <c r="Z76" s="76" t="s">
        <v>0</v>
      </c>
      <c r="AA76" s="153">
        <f>SUM(K76:P76,H76)-SUM(T76:Y76)</f>
        <v>0</v>
      </c>
      <c r="AB76" s="153"/>
      <c r="AC76" s="153"/>
      <c r="AD76" s="76" t="s">
        <v>8</v>
      </c>
      <c r="AE76" s="153">
        <f>IF($E$39="",0,IF(AA76&gt;$Q$5/12*$G$39,ROUNDDOWN($Q$5/12*$G$39,0),ROUNDDOWN(AA76,-2)))</f>
        <v>0</v>
      </c>
      <c r="AF76" s="153"/>
      <c r="AG76" s="153"/>
      <c r="AS76" s="41">
        <f t="shared" si="22"/>
        <v>0</v>
      </c>
      <c r="AT76" s="87">
        <v>3600000</v>
      </c>
      <c r="AU76" s="87"/>
      <c r="AV76" s="87"/>
      <c r="AW76" s="79" t="s">
        <v>37</v>
      </c>
      <c r="AX76" s="87">
        <v>6599999</v>
      </c>
      <c r="AY76" s="87"/>
      <c r="AZ76" s="87"/>
      <c r="BA76" s="88">
        <f>IF(AS76=1,ROUNDDOWN(AX80/4,-3)*3.2-440000,0)</f>
        <v>0</v>
      </c>
      <c r="BB76" s="88"/>
      <c r="BC76" s="88"/>
      <c r="BE76" s="41"/>
      <c r="BF76" s="87"/>
      <c r="BG76" s="87"/>
      <c r="BH76" s="87"/>
      <c r="BI76" s="79" t="s">
        <v>37</v>
      </c>
      <c r="BJ76" s="87"/>
      <c r="BK76" s="87"/>
      <c r="BL76" s="87"/>
      <c r="BM76" s="88"/>
      <c r="BN76" s="88"/>
      <c r="BO76" s="88"/>
      <c r="BP76" s="49"/>
      <c r="BQ76" s="41"/>
      <c r="BR76" s="87"/>
      <c r="BS76" s="87"/>
      <c r="BT76" s="87"/>
      <c r="BU76" s="79" t="s">
        <v>37</v>
      </c>
      <c r="BV76" s="87"/>
      <c r="BW76" s="87"/>
      <c r="BX76" s="87"/>
      <c r="BY76" s="88"/>
      <c r="BZ76" s="88"/>
      <c r="CA76" s="88"/>
    </row>
    <row r="77" spans="2:79" x14ac:dyDescent="0.15">
      <c r="AS77" s="41">
        <f t="shared" si="22"/>
        <v>0</v>
      </c>
      <c r="AT77" s="87">
        <v>6600000</v>
      </c>
      <c r="AU77" s="87"/>
      <c r="AV77" s="87"/>
      <c r="AW77" s="79" t="s">
        <v>37</v>
      </c>
      <c r="AX77" s="87">
        <v>8499999</v>
      </c>
      <c r="AY77" s="87"/>
      <c r="AZ77" s="87"/>
      <c r="BA77" s="88">
        <f>IF(AS77=1,AX80*0.9-1100000,0)</f>
        <v>0</v>
      </c>
      <c r="BB77" s="88"/>
      <c r="BC77" s="88"/>
      <c r="BE77" s="41"/>
      <c r="BF77" s="87"/>
      <c r="BG77" s="87"/>
      <c r="BH77" s="87"/>
      <c r="BI77" s="79" t="s">
        <v>37</v>
      </c>
      <c r="BJ77" s="87"/>
      <c r="BK77" s="87"/>
      <c r="BL77" s="87"/>
      <c r="BM77" s="88"/>
      <c r="BN77" s="88"/>
      <c r="BO77" s="88"/>
      <c r="BP77" s="49"/>
      <c r="BQ77" s="41"/>
      <c r="BR77" s="87"/>
      <c r="BS77" s="87"/>
      <c r="BT77" s="87"/>
      <c r="BU77" s="79" t="s">
        <v>37</v>
      </c>
      <c r="BV77" s="87"/>
      <c r="BW77" s="87"/>
      <c r="BX77" s="87"/>
      <c r="BY77" s="88"/>
      <c r="BZ77" s="88"/>
      <c r="CA77" s="88"/>
    </row>
    <row r="78" spans="2:79" x14ac:dyDescent="0.15">
      <c r="AS78" s="41">
        <f>IF($AX$80&gt;=AT78,1,0)</f>
        <v>0</v>
      </c>
      <c r="AT78" s="87">
        <v>8500000</v>
      </c>
      <c r="AU78" s="87"/>
      <c r="AV78" s="87"/>
      <c r="AW78" s="79" t="s">
        <v>37</v>
      </c>
      <c r="AX78" s="87"/>
      <c r="AY78" s="87"/>
      <c r="AZ78" s="87"/>
      <c r="BA78" s="88">
        <f>IF(AS78=1,AX80-1950000,0)</f>
        <v>0</v>
      </c>
      <c r="BB78" s="88"/>
      <c r="BC78" s="88"/>
      <c r="BE78" s="41"/>
      <c r="BF78" s="87"/>
      <c r="BG78" s="87"/>
      <c r="BH78" s="87"/>
      <c r="BI78" s="79" t="s">
        <v>37</v>
      </c>
      <c r="BJ78" s="87"/>
      <c r="BK78" s="87"/>
      <c r="BL78" s="87"/>
      <c r="BM78" s="88"/>
      <c r="BN78" s="88"/>
      <c r="BO78" s="88"/>
      <c r="BP78" s="49"/>
      <c r="BQ78" s="41"/>
      <c r="BR78" s="87"/>
      <c r="BS78" s="87"/>
      <c r="BT78" s="87"/>
      <c r="BU78" s="79" t="s">
        <v>37</v>
      </c>
      <c r="BV78" s="87"/>
      <c r="BW78" s="87"/>
      <c r="BX78" s="87"/>
      <c r="BY78" s="88"/>
      <c r="BZ78" s="88"/>
      <c r="CA78" s="88"/>
    </row>
    <row r="79" spans="2:79" x14ac:dyDescent="0.15">
      <c r="B79" s="2" t="s">
        <v>93</v>
      </c>
      <c r="D79" s="78" t="s">
        <v>91</v>
      </c>
      <c r="E79" s="65">
        <f>IF($E$23&lt;6,1,IF($E$23&gt;=6,0,"ERROR"))</f>
        <v>1</v>
      </c>
      <c r="I79" s="65"/>
      <c r="AS79" s="78"/>
      <c r="AT79" s="46"/>
      <c r="AU79" s="46"/>
      <c r="AV79" s="46"/>
      <c r="AW79" s="78"/>
      <c r="AX79" s="38"/>
      <c r="AY79" s="38"/>
      <c r="AZ79" s="38"/>
      <c r="BA79" s="43"/>
      <c r="BB79" s="43"/>
      <c r="BC79" s="43"/>
      <c r="BE79" s="78"/>
      <c r="BF79" s="46"/>
      <c r="BG79" s="46"/>
      <c r="BH79" s="46"/>
      <c r="BI79" s="78"/>
      <c r="BJ79" s="38"/>
      <c r="BK79" s="38"/>
      <c r="BL79" s="38"/>
      <c r="BM79" s="43"/>
      <c r="BN79" s="43"/>
      <c r="BO79" s="43"/>
      <c r="BP79" s="43"/>
      <c r="BQ79" s="78"/>
      <c r="BR79" s="46"/>
      <c r="BS79" s="46"/>
      <c r="BT79" s="46"/>
      <c r="BU79" s="78"/>
      <c r="BV79" s="38"/>
      <c r="BW79" s="38"/>
      <c r="BX79" s="38"/>
      <c r="BY79" s="43"/>
      <c r="BZ79" s="43"/>
      <c r="CA79" s="43"/>
    </row>
    <row r="80" spans="2:79" ht="39" customHeight="1" x14ac:dyDescent="0.15">
      <c r="D80" s="77"/>
      <c r="E80" s="154" t="s">
        <v>20</v>
      </c>
      <c r="F80" s="155"/>
      <c r="G80" s="155"/>
      <c r="H80" s="152" t="s">
        <v>7</v>
      </c>
      <c r="I80" s="152"/>
      <c r="J80" s="152"/>
      <c r="K80" s="152" t="s">
        <v>28</v>
      </c>
      <c r="L80" s="152"/>
      <c r="M80" s="152"/>
      <c r="N80" s="152" t="s">
        <v>29</v>
      </c>
      <c r="O80" s="152"/>
      <c r="P80" s="152"/>
      <c r="Q80" s="152" t="s">
        <v>6</v>
      </c>
      <c r="R80" s="152"/>
      <c r="S80" s="152"/>
      <c r="T80" s="156" t="s">
        <v>71</v>
      </c>
      <c r="U80" s="152"/>
      <c r="V80" s="152"/>
      <c r="W80" s="156" t="s">
        <v>72</v>
      </c>
      <c r="X80" s="152"/>
      <c r="Y80" s="152"/>
      <c r="AA80" s="152" t="s">
        <v>73</v>
      </c>
      <c r="AB80" s="152"/>
      <c r="AC80" s="152"/>
      <c r="AD80" s="77"/>
      <c r="AE80" s="152" t="s">
        <v>74</v>
      </c>
      <c r="AF80" s="152"/>
      <c r="AG80" s="152"/>
      <c r="AS80" s="78"/>
      <c r="AT80" s="104" t="s">
        <v>31</v>
      </c>
      <c r="AU80" s="104"/>
      <c r="AV80" s="104"/>
      <c r="AW80" s="104"/>
      <c r="AX80" s="105">
        <f>F23</f>
        <v>0</v>
      </c>
      <c r="AY80" s="106"/>
      <c r="AZ80" s="107"/>
      <c r="BA80" s="44"/>
      <c r="BB80" s="45"/>
      <c r="BC80" s="45"/>
      <c r="BE80" s="78"/>
      <c r="BF80" s="104" t="s">
        <v>43</v>
      </c>
      <c r="BG80" s="104"/>
      <c r="BH80" s="104"/>
      <c r="BI80" s="104"/>
      <c r="BJ80" s="108">
        <f>J23</f>
        <v>0</v>
      </c>
      <c r="BK80" s="108"/>
      <c r="BL80" s="108"/>
      <c r="BM80" s="44"/>
      <c r="BN80" s="45"/>
      <c r="BO80" s="45"/>
      <c r="BP80" s="45"/>
      <c r="BQ80" s="78"/>
      <c r="BR80" s="104" t="s">
        <v>43</v>
      </c>
      <c r="BS80" s="104"/>
      <c r="BT80" s="104"/>
      <c r="BU80" s="104"/>
      <c r="BV80" s="108">
        <f>BJ80</f>
        <v>0</v>
      </c>
      <c r="BW80" s="108"/>
      <c r="BX80" s="108"/>
      <c r="BY80" s="44"/>
      <c r="BZ80" s="45"/>
      <c r="CA80" s="45"/>
    </row>
    <row r="81" spans="2:79" ht="21" customHeight="1" x14ac:dyDescent="0.15">
      <c r="D81" s="77" t="s">
        <v>1</v>
      </c>
      <c r="E81" s="153">
        <f>IF($E$40="",0,ROUNDDOWN(SUMPRODUCT($T$40,$E$40,$AC$40),0))</f>
        <v>0</v>
      </c>
      <c r="F81" s="153"/>
      <c r="G81" s="153"/>
      <c r="H81" s="153">
        <f>IF($E$40="",0,ROUNDDOWN(ROUNDDOWN(SUMPRODUCT($T$40,$E$40,$AC$40),0)*$E$3%,0))</f>
        <v>0</v>
      </c>
      <c r="I81" s="153"/>
      <c r="J81" s="153"/>
      <c r="K81" s="153">
        <f>IF($E$40="",0,IF($E$79=0,ROUNDDOWN(($E$40*$AC$40*$AD$40),0),IF($E$79=1,ROUNDDOWN(($E$40*$AH$40*$AI$40),0),"ERROR")))</f>
        <v>0</v>
      </c>
      <c r="L81" s="153"/>
      <c r="M81" s="153"/>
      <c r="N81" s="153">
        <f>IF($E$40="",0,ROUNDDOWN(MAX($E$38:$F$45)*$M$3/12,0)/$E$46)</f>
        <v>0</v>
      </c>
      <c r="O81" s="153"/>
      <c r="P81" s="153"/>
      <c r="Q81" s="153" t="str">
        <f>IF($AC$37=0,"軽減なし",$AC$37&amp;"割軽減")</f>
        <v>7割軽減</v>
      </c>
      <c r="R81" s="153"/>
      <c r="S81" s="153"/>
      <c r="T81" s="153">
        <f>ROUNDDOWN(K81*$AD$37,0)</f>
        <v>0</v>
      </c>
      <c r="U81" s="153"/>
      <c r="V81" s="153"/>
      <c r="W81" s="153">
        <f>ROUNDDOWN(N81*$AE$37,0)</f>
        <v>0</v>
      </c>
      <c r="X81" s="153"/>
      <c r="Y81" s="153"/>
      <c r="Z81" s="76" t="s">
        <v>0</v>
      </c>
      <c r="AA81" s="153">
        <f>SUM(K81:P81,H81)-SUM(T81:Y81)</f>
        <v>0</v>
      </c>
      <c r="AB81" s="153"/>
      <c r="AC81" s="153"/>
      <c r="AD81" s="76" t="s">
        <v>8</v>
      </c>
      <c r="AE81" s="153">
        <f>IF($E$40="",0,IF(AA81&gt;$Q$3/12*$E$40,ROUNDDOWN($Q$3/12*$E$40,0),ROUNDDOWN(AA81,-2)))</f>
        <v>0</v>
      </c>
      <c r="AF81" s="153"/>
      <c r="AG81" s="153"/>
      <c r="AT81" s="104" t="s">
        <v>42</v>
      </c>
      <c r="AU81" s="104"/>
      <c r="AV81" s="104"/>
      <c r="AW81" s="104"/>
      <c r="AX81" s="119">
        <f>SUM(BA68:BC78)</f>
        <v>0</v>
      </c>
      <c r="AY81" s="112"/>
      <c r="AZ81" s="112"/>
      <c r="BF81" s="104" t="s">
        <v>44</v>
      </c>
      <c r="BG81" s="104"/>
      <c r="BH81" s="104"/>
      <c r="BI81" s="104"/>
      <c r="BJ81" s="119">
        <f>SUM(BM68:BO78)</f>
        <v>0</v>
      </c>
      <c r="BK81" s="112"/>
      <c r="BL81" s="112"/>
      <c r="BM81" s="65">
        <f>IF(D23&lt;65,1,0)</f>
        <v>1</v>
      </c>
      <c r="BR81" s="104" t="s">
        <v>44</v>
      </c>
      <c r="BS81" s="104"/>
      <c r="BT81" s="104"/>
      <c r="BU81" s="104"/>
      <c r="BV81" s="119">
        <f>SUM(BY68:CA78)</f>
        <v>0</v>
      </c>
      <c r="BW81" s="112"/>
      <c r="BX81" s="112"/>
      <c r="BY81" s="65">
        <f>IF(D23&lt;65,0,1)</f>
        <v>0</v>
      </c>
    </row>
    <row r="82" spans="2:79" ht="21" customHeight="1" x14ac:dyDescent="0.15">
      <c r="D82" s="77" t="s">
        <v>2</v>
      </c>
      <c r="E82" s="153">
        <f>IF($E$40="",0,ROUNDDOWN(SUMPRODUCT($T$40,$E$40,$AC$40),0))</f>
        <v>0</v>
      </c>
      <c r="F82" s="153"/>
      <c r="G82" s="153"/>
      <c r="H82" s="153">
        <f>IF($E$40="",0,ROUNDDOWN(ROUNDDOWN(SUMPRODUCT($T$40,$E$40,$AC$40),0)*$E$4%,0))</f>
        <v>0</v>
      </c>
      <c r="I82" s="153"/>
      <c r="J82" s="153"/>
      <c r="K82" s="153">
        <f>IF($E$40="",0,IF($E$79=0,ROUNDDOWN(($E$40*$AC$40*$AE$40),0),IF($E$79=1,ROUNDDOWN(($E$40*$AH$40*$AJ$40),0),"ERROR")))</f>
        <v>0</v>
      </c>
      <c r="L82" s="153"/>
      <c r="M82" s="153"/>
      <c r="N82" s="153">
        <f>IF($E$40="",0,ROUNDDOWN(MAX($E$38:$F$45)*$M$4/12,0)/$E$46)</f>
        <v>0</v>
      </c>
      <c r="O82" s="153"/>
      <c r="P82" s="153"/>
      <c r="Q82" s="153" t="str">
        <f>IF($AC$37=0,"軽減なし",$AC$37&amp;"割軽減")</f>
        <v>7割軽減</v>
      </c>
      <c r="R82" s="153"/>
      <c r="S82" s="153"/>
      <c r="T82" s="153">
        <f>ROUNDDOWN(K82*$AD$37,0)</f>
        <v>0</v>
      </c>
      <c r="U82" s="153"/>
      <c r="V82" s="153"/>
      <c r="W82" s="153">
        <f>ROUNDDOWN(N82*$AE$37,0)</f>
        <v>0</v>
      </c>
      <c r="X82" s="153"/>
      <c r="Y82" s="153"/>
      <c r="Z82" s="76" t="s">
        <v>0</v>
      </c>
      <c r="AA82" s="153">
        <f>SUM(K82:P82,H82)-SUM(T82:Y82)</f>
        <v>0</v>
      </c>
      <c r="AB82" s="153"/>
      <c r="AC82" s="153"/>
      <c r="AD82" s="76" t="s">
        <v>8</v>
      </c>
      <c r="AE82" s="153">
        <f>IF($E$40="",0,IF(AA82&gt;$Q$4/12*$E$40,ROUNDDOWN($Q$4/12*$E$40,0),ROUNDDOWN(AA82,-2)))</f>
        <v>0</v>
      </c>
      <c r="AF82" s="153"/>
      <c r="AG82" s="153"/>
      <c r="BJ82" s="47"/>
      <c r="BK82" s="47"/>
      <c r="BL82" s="47"/>
      <c r="BV82" s="47"/>
      <c r="BW82" s="47"/>
      <c r="BX82" s="47"/>
    </row>
    <row r="83" spans="2:79" ht="21" customHeight="1" x14ac:dyDescent="0.15">
      <c r="D83" s="77" t="s">
        <v>3</v>
      </c>
      <c r="E83" s="153">
        <f>IF($E$40="",0,ROUNDDOWN(SUMPRODUCT($T$40,$G$40,$AC$40),0))</f>
        <v>0</v>
      </c>
      <c r="F83" s="153"/>
      <c r="G83" s="153"/>
      <c r="H83" s="153">
        <f>IF($E$40="",0,ROUNDDOWN(ROUNDDOWN(SUMPRODUCT($T$40,$G$40,$AC$40),0)*$E$5%,0))</f>
        <v>0</v>
      </c>
      <c r="I83" s="153"/>
      <c r="J83" s="153"/>
      <c r="K83" s="153">
        <f>IF($E$40="",0,IF($E$79=0,ROUNDDOWN(($G$40*$AC$40*$AF$40),0),IF($E$79=1,ROUNDDOWN(($G$40*$AH$40*$AK$40),0),"ERROR")))</f>
        <v>0</v>
      </c>
      <c r="L83" s="153"/>
      <c r="M83" s="153"/>
      <c r="N83" s="153">
        <f>IF(K83=0,0,$M$5)</f>
        <v>0</v>
      </c>
      <c r="O83" s="153"/>
      <c r="P83" s="153"/>
      <c r="Q83" s="153" t="str">
        <f>IF($AC$37=0,"軽減なし",$AC$37&amp;"割軽減")</f>
        <v>7割軽減</v>
      </c>
      <c r="R83" s="153"/>
      <c r="S83" s="153"/>
      <c r="T83" s="153">
        <f>ROUNDDOWN(K83*$AD$37,0)</f>
        <v>0</v>
      </c>
      <c r="U83" s="153"/>
      <c r="V83" s="153"/>
      <c r="W83" s="153">
        <f>ROUNDDOWN(N83*$AE$37,0)</f>
        <v>0</v>
      </c>
      <c r="X83" s="153"/>
      <c r="Y83" s="153"/>
      <c r="Z83" s="76" t="s">
        <v>0</v>
      </c>
      <c r="AA83" s="153">
        <f>SUM(K83:P83,H83)-SUM(T83:Y83)</f>
        <v>0</v>
      </c>
      <c r="AB83" s="153"/>
      <c r="AC83" s="153"/>
      <c r="AD83" s="76" t="s">
        <v>8</v>
      </c>
      <c r="AE83" s="153">
        <f>IF($E$40="",0,IF(AA83&gt;$Q$5/12*$G$40,ROUNDDOWN($Q$5/12*$G$40,0),ROUNDDOWN(AA83,-2)))</f>
        <v>0</v>
      </c>
      <c r="AF83" s="153"/>
      <c r="AG83" s="153"/>
      <c r="BE83" s="112" t="s">
        <v>45</v>
      </c>
      <c r="BF83" s="112"/>
      <c r="BG83" s="112"/>
      <c r="BH83" s="112"/>
      <c r="BI83" s="112"/>
      <c r="BJ83" s="112"/>
      <c r="BK83" s="112"/>
      <c r="BL83" s="112"/>
      <c r="BM83" s="112"/>
      <c r="BN83" s="112"/>
      <c r="BO83" s="112"/>
      <c r="BP83" s="69"/>
      <c r="BQ83" s="112" t="s">
        <v>45</v>
      </c>
      <c r="BR83" s="112"/>
      <c r="BS83" s="112"/>
      <c r="BT83" s="112"/>
      <c r="BU83" s="112"/>
      <c r="BV83" s="112"/>
      <c r="BW83" s="112"/>
      <c r="BX83" s="112"/>
      <c r="BY83" s="112"/>
      <c r="BZ83" s="112"/>
      <c r="CA83" s="112"/>
    </row>
    <row r="84" spans="2:79" x14ac:dyDescent="0.15">
      <c r="BL84" s="118">
        <f>V23</f>
        <v>0</v>
      </c>
      <c r="BM84" s="118"/>
      <c r="BN84" s="118"/>
      <c r="BO84" s="118"/>
      <c r="BP84" s="50"/>
      <c r="BX84" s="118">
        <f>BL84</f>
        <v>0</v>
      </c>
      <c r="BY84" s="118"/>
      <c r="BZ84" s="118"/>
      <c r="CA84" s="118"/>
    </row>
    <row r="85" spans="2:79" x14ac:dyDescent="0.15">
      <c r="B85" s="2" t="s">
        <v>94</v>
      </c>
      <c r="D85" s="78" t="s">
        <v>91</v>
      </c>
      <c r="E85" s="65">
        <f>IF($E$24&lt;6,1,IF($E$24&gt;=6,0,"ERROR"))</f>
        <v>1</v>
      </c>
      <c r="I85" s="65"/>
      <c r="AT85" t="s">
        <v>76</v>
      </c>
    </row>
    <row r="86" spans="2:79" ht="39" customHeight="1" x14ac:dyDescent="0.15">
      <c r="D86" s="77"/>
      <c r="E86" s="154" t="s">
        <v>20</v>
      </c>
      <c r="F86" s="155"/>
      <c r="G86" s="155"/>
      <c r="H86" s="152" t="s">
        <v>7</v>
      </c>
      <c r="I86" s="152"/>
      <c r="J86" s="152"/>
      <c r="K86" s="152" t="s">
        <v>28</v>
      </c>
      <c r="L86" s="152"/>
      <c r="M86" s="152"/>
      <c r="N86" s="152" t="s">
        <v>29</v>
      </c>
      <c r="O86" s="152"/>
      <c r="P86" s="152"/>
      <c r="Q86" s="152" t="s">
        <v>6</v>
      </c>
      <c r="R86" s="152"/>
      <c r="S86" s="152"/>
      <c r="T86" s="156" t="s">
        <v>71</v>
      </c>
      <c r="U86" s="152"/>
      <c r="V86" s="152"/>
      <c r="W86" s="156" t="s">
        <v>72</v>
      </c>
      <c r="X86" s="152"/>
      <c r="Y86" s="152"/>
      <c r="AA86" s="152" t="s">
        <v>73</v>
      </c>
      <c r="AB86" s="152"/>
      <c r="AC86" s="152"/>
      <c r="AD86" s="77"/>
      <c r="AE86" s="152" t="s">
        <v>74</v>
      </c>
      <c r="AF86" s="152"/>
      <c r="AG86" s="152"/>
      <c r="AT86" s="112" t="s">
        <v>42</v>
      </c>
      <c r="AU86" s="112"/>
      <c r="AV86" s="112"/>
      <c r="AW86" s="112"/>
      <c r="AX86" s="119">
        <f>AX81</f>
        <v>0</v>
      </c>
      <c r="AY86" s="112"/>
      <c r="AZ86" s="112"/>
      <c r="BB86" t="s">
        <v>87</v>
      </c>
    </row>
    <row r="87" spans="2:79" ht="21" customHeight="1" x14ac:dyDescent="0.15">
      <c r="D87" s="77" t="s">
        <v>1</v>
      </c>
      <c r="E87" s="153">
        <f>IF($E$41="",0,ROUNDDOWN(SUMPRODUCT($T$41,$E$41,$AC$41),0))</f>
        <v>0</v>
      </c>
      <c r="F87" s="153"/>
      <c r="G87" s="153"/>
      <c r="H87" s="153">
        <f>IF($E$41="",0,ROUNDDOWN(ROUNDDOWN(SUMPRODUCT($T$41,$E$41,$AC$41),0)*$E$3%,0))</f>
        <v>0</v>
      </c>
      <c r="I87" s="153"/>
      <c r="J87" s="153"/>
      <c r="K87" s="153">
        <f>IF($E$41="",0,IF($E$85=0,ROUNDDOWN(($E$41*$AC$41*$AD$41),0),IF($E$85=1,ROUNDDOWN(($E$41*$AH$41*$AI$41),0),"ERROR")))</f>
        <v>0</v>
      </c>
      <c r="L87" s="153"/>
      <c r="M87" s="153"/>
      <c r="N87" s="153">
        <f>IF($E$41="",0,ROUNDDOWN(MAX($E$38:$F$45)*$M$3/12,0)/$E$46)</f>
        <v>0</v>
      </c>
      <c r="O87" s="153"/>
      <c r="P87" s="153"/>
      <c r="Q87" s="153" t="str">
        <f>IF($AC$37=0,"軽減なし",$AC$37&amp;"割軽減")</f>
        <v>7割軽減</v>
      </c>
      <c r="R87" s="153"/>
      <c r="S87" s="153"/>
      <c r="T87" s="153">
        <f>ROUNDDOWN(K87*$AD$37,0)</f>
        <v>0</v>
      </c>
      <c r="U87" s="153"/>
      <c r="V87" s="153"/>
      <c r="W87" s="153">
        <f>ROUNDDOWN(N87*$AE$37,0)</f>
        <v>0</v>
      </c>
      <c r="X87" s="153"/>
      <c r="Y87" s="153"/>
      <c r="Z87" s="76" t="s">
        <v>0</v>
      </c>
      <c r="AA87" s="153">
        <f>SUM(K87:P87,H87)-SUM(T87:Y87)</f>
        <v>0</v>
      </c>
      <c r="AB87" s="153"/>
      <c r="AC87" s="153"/>
      <c r="AD87" s="76" t="s">
        <v>8</v>
      </c>
      <c r="AE87" s="153">
        <f>IF($E$41="",0,IF(AA87&gt;$Q$3/12*$E$41,ROUNDDOWN($Q$3/12*$E$41,0),ROUNDDOWN(AA87,-2)))</f>
        <v>0</v>
      </c>
      <c r="AF87" s="153"/>
      <c r="AG87" s="153"/>
      <c r="AT87" s="112" t="s">
        <v>48</v>
      </c>
      <c r="AU87" s="112"/>
      <c r="AV87" s="112"/>
      <c r="AW87" s="112"/>
      <c r="AX87" s="143">
        <f>IF(BM81=1,BJ81,IF(BY81=1,BV81,0))</f>
        <v>0</v>
      </c>
      <c r="AY87" s="143"/>
      <c r="AZ87" s="143"/>
      <c r="BB87" t="s">
        <v>86</v>
      </c>
    </row>
    <row r="88" spans="2:79" ht="21" customHeight="1" x14ac:dyDescent="0.15">
      <c r="D88" s="77" t="s">
        <v>2</v>
      </c>
      <c r="E88" s="153">
        <f>IF($E$41="",0,ROUNDDOWN(SUMPRODUCT($T$41,$E$41,$AC$41),0))</f>
        <v>0</v>
      </c>
      <c r="F88" s="153"/>
      <c r="G88" s="153"/>
      <c r="H88" s="153">
        <f>IF($E$41="",0,ROUNDDOWN(ROUNDDOWN(SUMPRODUCT($T$41,$E$41,$AC$41),0)*$E$4%,0))</f>
        <v>0</v>
      </c>
      <c r="I88" s="153"/>
      <c r="J88" s="153"/>
      <c r="K88" s="153">
        <f>IF($E$41="",0,IF($E$85=0,ROUNDDOWN(($E$41*$AC$41*$AE$41),0),IF($E$85=1,ROUNDDOWN(($E$41*$AH$41*$AJ$41),0),"ERROR")))</f>
        <v>0</v>
      </c>
      <c r="L88" s="153"/>
      <c r="M88" s="153"/>
      <c r="N88" s="153">
        <f>IF($E$41="",0,ROUNDDOWN(MAX($E$38:$F$45)*$M$4/12,0)/$E$46)</f>
        <v>0</v>
      </c>
      <c r="O88" s="153"/>
      <c r="P88" s="153"/>
      <c r="Q88" s="153" t="str">
        <f>IF($AC$37=0,"軽減なし",$AC$37&amp;"割軽減")</f>
        <v>7割軽減</v>
      </c>
      <c r="R88" s="153"/>
      <c r="S88" s="153"/>
      <c r="T88" s="153">
        <f>ROUNDDOWN(K88*$AD$37,0)</f>
        <v>0</v>
      </c>
      <c r="U88" s="153"/>
      <c r="V88" s="153"/>
      <c r="W88" s="153">
        <f>ROUNDDOWN(N88*$AE$37,0)</f>
        <v>0</v>
      </c>
      <c r="X88" s="153"/>
      <c r="Y88" s="153"/>
      <c r="Z88" s="76" t="s">
        <v>0</v>
      </c>
      <c r="AA88" s="153">
        <f>SUM(K88:P88,H88)-SUM(T88:Y88)</f>
        <v>0</v>
      </c>
      <c r="AB88" s="153"/>
      <c r="AC88" s="153"/>
      <c r="AD88" s="76" t="s">
        <v>8</v>
      </c>
      <c r="AE88" s="153">
        <f>IF($E$41="",0,IF(AA88&gt;$Q$4/12*$E$41,ROUNDDOWN($Q$4/12*$E$41,0),ROUNDDOWN(AA88,-2)))</f>
        <v>0</v>
      </c>
      <c r="AF88" s="153"/>
      <c r="AG88" s="153"/>
      <c r="AT88" s="112" t="s">
        <v>49</v>
      </c>
      <c r="AU88" s="112"/>
      <c r="AV88" s="112"/>
      <c r="AW88" s="112"/>
      <c r="AX88" s="119">
        <f>SUM(AX86:AZ87)+IF((AND(AX86&gt;0,AX87&gt;0,(AX86+AX87)&gt;100000)),-100000,0)</f>
        <v>0</v>
      </c>
      <c r="AY88" s="112"/>
      <c r="AZ88" s="112"/>
      <c r="BB88" t="s">
        <v>70</v>
      </c>
      <c r="BP88" s="70"/>
    </row>
    <row r="89" spans="2:79" ht="21" customHeight="1" x14ac:dyDescent="0.15">
      <c r="D89" s="77" t="s">
        <v>3</v>
      </c>
      <c r="E89" s="153">
        <f>IF($E$41="",0,ROUNDDOWN(SUMPRODUCT($T$41,$G$41,$AC$41),0))</f>
        <v>0</v>
      </c>
      <c r="F89" s="153"/>
      <c r="G89" s="153"/>
      <c r="H89" s="153">
        <f>IF($E$41="",0,ROUNDDOWN(ROUNDDOWN(SUMPRODUCT($T$41,$G$41,$AC$41),0)*$E$5%,0))</f>
        <v>0</v>
      </c>
      <c r="I89" s="153"/>
      <c r="J89" s="153"/>
      <c r="K89" s="153">
        <f>IF($E$41="",0,IF($E$85=0,ROUNDDOWN(($G$41*$AC$41*$AF$41),0),IF($E$85=1,ROUNDDOWN(($G$41*$AH$41*$AK$41),0),"ERROR")))</f>
        <v>0</v>
      </c>
      <c r="L89" s="153"/>
      <c r="M89" s="153"/>
      <c r="N89" s="153">
        <f>IF(K89=0,0,$M$5)</f>
        <v>0</v>
      </c>
      <c r="O89" s="153"/>
      <c r="P89" s="153"/>
      <c r="Q89" s="153" t="str">
        <f>IF($AC$37=0,"軽減なし",$AC$37&amp;"割軽減")</f>
        <v>7割軽減</v>
      </c>
      <c r="R89" s="153"/>
      <c r="S89" s="153"/>
      <c r="T89" s="153">
        <f>ROUNDDOWN(K89*$AD$37,0)</f>
        <v>0</v>
      </c>
      <c r="U89" s="153"/>
      <c r="V89" s="153"/>
      <c r="W89" s="153">
        <f>ROUNDDOWN(N89*$AE$37,0)</f>
        <v>0</v>
      </c>
      <c r="X89" s="153"/>
      <c r="Y89" s="153"/>
      <c r="Z89" s="76" t="s">
        <v>0</v>
      </c>
      <c r="AA89" s="153">
        <f>SUM(K89:P89,H89)-SUM(T89:Y89)</f>
        <v>0</v>
      </c>
      <c r="AB89" s="153"/>
      <c r="AC89" s="153"/>
      <c r="AD89" s="76" t="s">
        <v>8</v>
      </c>
      <c r="AE89" s="153">
        <f>IF($E$41="",0,IF(AA89&gt;$Q$5/12*$G$41,ROUNDDOWN($Q$5/12*$G$41,0),ROUNDDOWN(AA89,-2)))</f>
        <v>0</v>
      </c>
      <c r="AF89" s="153"/>
      <c r="AG89" s="153"/>
    </row>
    <row r="90" spans="2:79" x14ac:dyDescent="0.15">
      <c r="AT90" s="112" t="s">
        <v>66</v>
      </c>
      <c r="AU90" s="112"/>
      <c r="AV90" s="112"/>
      <c r="AW90" s="112"/>
      <c r="AX90" s="143">
        <f>MAX(IF(BM81=1,BJ81,IF(BY81=1,BV81-150000,0)),0)</f>
        <v>0</v>
      </c>
      <c r="AY90" s="143"/>
      <c r="AZ90" s="143"/>
    </row>
    <row r="91" spans="2:79" x14ac:dyDescent="0.15">
      <c r="B91" s="2" t="s">
        <v>95</v>
      </c>
      <c r="D91" s="78" t="s">
        <v>91</v>
      </c>
      <c r="E91" s="65">
        <f>IF($E$25&lt;6,1,IF($E$25&gt;=6,0,"ERROR"))</f>
        <v>1</v>
      </c>
      <c r="I91" s="65"/>
    </row>
    <row r="92" spans="2:79" ht="39" customHeight="1" x14ac:dyDescent="0.15">
      <c r="D92" s="77"/>
      <c r="E92" s="154" t="s">
        <v>20</v>
      </c>
      <c r="F92" s="155"/>
      <c r="G92" s="155"/>
      <c r="H92" s="152" t="s">
        <v>7</v>
      </c>
      <c r="I92" s="152"/>
      <c r="J92" s="152"/>
      <c r="K92" s="152" t="s">
        <v>28</v>
      </c>
      <c r="L92" s="152"/>
      <c r="M92" s="152"/>
      <c r="N92" s="152" t="s">
        <v>29</v>
      </c>
      <c r="O92" s="152"/>
      <c r="P92" s="152"/>
      <c r="Q92" s="152" t="s">
        <v>6</v>
      </c>
      <c r="R92" s="152"/>
      <c r="S92" s="152"/>
      <c r="T92" s="156" t="s">
        <v>71</v>
      </c>
      <c r="U92" s="152"/>
      <c r="V92" s="152"/>
      <c r="W92" s="156" t="s">
        <v>72</v>
      </c>
      <c r="X92" s="152"/>
      <c r="Y92" s="152"/>
      <c r="AA92" s="152" t="s">
        <v>73</v>
      </c>
      <c r="AB92" s="152"/>
      <c r="AC92" s="152"/>
      <c r="AD92" s="77"/>
      <c r="AE92" s="152" t="s">
        <v>74</v>
      </c>
      <c r="AF92" s="152"/>
      <c r="AG92" s="152"/>
      <c r="AS92" s="93" t="s">
        <v>36</v>
      </c>
      <c r="AT92" s="94"/>
      <c r="AU92" s="94"/>
      <c r="AV92" s="94"/>
      <c r="AW92" s="94"/>
      <c r="AX92" s="94"/>
      <c r="AY92" s="94"/>
      <c r="AZ92" s="94"/>
      <c r="BA92" s="94"/>
      <c r="BB92" s="94"/>
      <c r="BC92" s="95"/>
      <c r="BE92" s="51"/>
      <c r="BF92" s="93" t="s">
        <v>47</v>
      </c>
      <c r="BG92" s="94"/>
      <c r="BH92" s="94"/>
      <c r="BI92" s="94"/>
      <c r="BJ92" s="94"/>
      <c r="BK92" s="94"/>
      <c r="BL92" s="94"/>
      <c r="BM92" s="94"/>
      <c r="BN92" s="94"/>
      <c r="BO92" s="95"/>
      <c r="BP92" s="69"/>
      <c r="BQ92" s="51"/>
      <c r="BR92" s="93" t="s">
        <v>46</v>
      </c>
      <c r="BS92" s="94"/>
      <c r="BT92" s="94"/>
      <c r="BU92" s="94"/>
      <c r="BV92" s="94"/>
      <c r="BW92" s="94"/>
      <c r="BX92" s="94"/>
      <c r="BY92" s="94"/>
      <c r="BZ92" s="94"/>
      <c r="CA92" s="95"/>
    </row>
    <row r="93" spans="2:79" ht="21" customHeight="1" x14ac:dyDescent="0.15">
      <c r="D93" s="77" t="s">
        <v>1</v>
      </c>
      <c r="E93" s="153">
        <f>IF($E$42="",0,ROUNDDOWN(SUMPRODUCT($T$42,$E$42,$AC$42),0))</f>
        <v>0</v>
      </c>
      <c r="F93" s="153"/>
      <c r="G93" s="153"/>
      <c r="H93" s="153">
        <f>IF($E$42="",0,ROUNDDOWN(ROUNDDOWN(SUMPRODUCT($T$42,$E$42,$AC$42),0)*$E$3%,0))</f>
        <v>0</v>
      </c>
      <c r="I93" s="153"/>
      <c r="J93" s="153"/>
      <c r="K93" s="153">
        <f>IF($E$42="",0,IF($E$91=0,ROUNDDOWN(($E$42*$AC$42*$AD$42),0),IF($E$91=1,ROUNDDOWN(($E$42*$AH$42*$AI$42),0),"ERROR")))</f>
        <v>0</v>
      </c>
      <c r="L93" s="153"/>
      <c r="M93" s="153"/>
      <c r="N93" s="153">
        <f>IF($E$42="",0,ROUNDDOWN(MAX($E$38:$F$45)*$M$3/12,0)/$E$46)</f>
        <v>0</v>
      </c>
      <c r="O93" s="153"/>
      <c r="P93" s="153"/>
      <c r="Q93" s="153" t="str">
        <f>IF($AC$37=0,"軽減なし",$AC$37&amp;"割軽減")</f>
        <v>7割軽減</v>
      </c>
      <c r="R93" s="153"/>
      <c r="S93" s="153"/>
      <c r="T93" s="153">
        <f>ROUNDDOWN(K93*$AD$37,0)</f>
        <v>0</v>
      </c>
      <c r="U93" s="153"/>
      <c r="V93" s="153"/>
      <c r="W93" s="153">
        <f>ROUNDDOWN(N93*$AE$37,0)</f>
        <v>0</v>
      </c>
      <c r="X93" s="153"/>
      <c r="Y93" s="153"/>
      <c r="Z93" s="76" t="s">
        <v>0</v>
      </c>
      <c r="AA93" s="153">
        <f>SUM(K93:P93,H93)-SUM(T93:Y93)</f>
        <v>0</v>
      </c>
      <c r="AB93" s="153"/>
      <c r="AC93" s="153"/>
      <c r="AD93" s="76" t="s">
        <v>8</v>
      </c>
      <c r="AE93" s="153">
        <f>IF($E$42="",0,IF(AA93&gt;$Q$3/12*$E$42,ROUNDDOWN($Q$3/12*$E$42,0),ROUNDDOWN(AA93,-2)))</f>
        <v>0</v>
      </c>
      <c r="AF93" s="153"/>
      <c r="AG93" s="153"/>
      <c r="AS93" s="91"/>
      <c r="AT93" s="89" t="s">
        <v>38</v>
      </c>
      <c r="AU93" s="89"/>
      <c r="AV93" s="89"/>
      <c r="AW93" s="89"/>
      <c r="AX93" s="89"/>
      <c r="AY93" s="89"/>
      <c r="AZ93" s="89"/>
      <c r="BA93" s="89" t="s">
        <v>39</v>
      </c>
      <c r="BB93" s="89"/>
      <c r="BC93" s="89"/>
      <c r="BE93" s="91"/>
      <c r="BF93" s="89" t="s">
        <v>38</v>
      </c>
      <c r="BG93" s="89"/>
      <c r="BH93" s="89"/>
      <c r="BI93" s="89"/>
      <c r="BJ93" s="89"/>
      <c r="BK93" s="89"/>
      <c r="BL93" s="89"/>
      <c r="BM93" s="89" t="s">
        <v>39</v>
      </c>
      <c r="BN93" s="89"/>
      <c r="BO93" s="89"/>
      <c r="BP93" s="48"/>
      <c r="BQ93" s="91"/>
      <c r="BR93" s="89" t="s">
        <v>38</v>
      </c>
      <c r="BS93" s="89"/>
      <c r="BT93" s="89"/>
      <c r="BU93" s="89"/>
      <c r="BV93" s="89"/>
      <c r="BW93" s="89"/>
      <c r="BX93" s="89"/>
      <c r="BY93" s="89" t="s">
        <v>39</v>
      </c>
      <c r="BZ93" s="89"/>
      <c r="CA93" s="89"/>
    </row>
    <row r="94" spans="2:79" ht="21" customHeight="1" x14ac:dyDescent="0.15">
      <c r="D94" s="77" t="s">
        <v>2</v>
      </c>
      <c r="E94" s="153">
        <f>IF($E$42="",0,ROUNDDOWN(SUMPRODUCT($T$42,$E$42,$AC$42),0))</f>
        <v>0</v>
      </c>
      <c r="F94" s="153"/>
      <c r="G94" s="153"/>
      <c r="H94" s="153">
        <f>IF($E$42="",0,ROUNDDOWN(ROUNDDOWN(SUMPRODUCT($T$42,$E$42,$AC$42),0)*$E$4%,0))</f>
        <v>0</v>
      </c>
      <c r="I94" s="153"/>
      <c r="J94" s="153"/>
      <c r="K94" s="153">
        <f>IF($E$42="",0,IF($E$91=0,ROUNDDOWN(($E$42*$AC$42*$AE$42),0),IF($E$91=1,ROUNDDOWN(($E$42*$AH$42*$AJ$42),0),"ERROR")))</f>
        <v>0</v>
      </c>
      <c r="L94" s="153"/>
      <c r="M94" s="153"/>
      <c r="N94" s="153">
        <f>IF($E$42="",0,ROUNDDOWN(MAX($E$38:$F$45)*$M$4/12,0)/$E$46)</f>
        <v>0</v>
      </c>
      <c r="O94" s="153"/>
      <c r="P94" s="153"/>
      <c r="Q94" s="153" t="str">
        <f>IF($AC$37=0,"軽減なし",$AC$37&amp;"割軽減")</f>
        <v>7割軽減</v>
      </c>
      <c r="R94" s="153"/>
      <c r="S94" s="153"/>
      <c r="T94" s="153">
        <f>ROUNDDOWN(K94*$AD$37,0)</f>
        <v>0</v>
      </c>
      <c r="U94" s="153"/>
      <c r="V94" s="153"/>
      <c r="W94" s="153">
        <f>ROUNDDOWN(N94*$AE$37,0)</f>
        <v>0</v>
      </c>
      <c r="X94" s="153"/>
      <c r="Y94" s="153"/>
      <c r="Z94" s="76" t="s">
        <v>0</v>
      </c>
      <c r="AA94" s="153">
        <f>SUM(K94:P94,H94)-SUM(T94:Y94)</f>
        <v>0</v>
      </c>
      <c r="AB94" s="153"/>
      <c r="AC94" s="153"/>
      <c r="AD94" s="76" t="s">
        <v>8</v>
      </c>
      <c r="AE94" s="153">
        <f>IF($E$42="",0,IF(AA94&gt;$Q$4/12*$E$42,ROUNDDOWN($Q$4/12*$E$42,0),ROUNDDOWN(AA94,-2)))</f>
        <v>0</v>
      </c>
      <c r="AF94" s="153"/>
      <c r="AG94" s="153"/>
      <c r="AS94" s="92"/>
      <c r="AT94" s="90"/>
      <c r="AU94" s="90"/>
      <c r="AV94" s="90"/>
      <c r="AW94" s="90"/>
      <c r="AX94" s="90"/>
      <c r="AY94" s="90"/>
      <c r="AZ94" s="90"/>
      <c r="BA94" s="90"/>
      <c r="BB94" s="90"/>
      <c r="BC94" s="90"/>
      <c r="BE94" s="92"/>
      <c r="BF94" s="90"/>
      <c r="BG94" s="90"/>
      <c r="BH94" s="90"/>
      <c r="BI94" s="90"/>
      <c r="BJ94" s="90"/>
      <c r="BK94" s="90"/>
      <c r="BL94" s="90"/>
      <c r="BM94" s="90"/>
      <c r="BN94" s="90"/>
      <c r="BO94" s="90"/>
      <c r="BP94" s="77"/>
      <c r="BQ94" s="92"/>
      <c r="BR94" s="90"/>
      <c r="BS94" s="90"/>
      <c r="BT94" s="90"/>
      <c r="BU94" s="90"/>
      <c r="BV94" s="90"/>
      <c r="BW94" s="90"/>
      <c r="BX94" s="90"/>
      <c r="BY94" s="90"/>
      <c r="BZ94" s="90"/>
      <c r="CA94" s="90"/>
    </row>
    <row r="95" spans="2:79" ht="21" customHeight="1" x14ac:dyDescent="0.15">
      <c r="D95" s="77" t="s">
        <v>3</v>
      </c>
      <c r="E95" s="153">
        <f>IF($E$42="",0,ROUNDDOWN(SUMPRODUCT($T$42,$G$42,$AC$42),0))</f>
        <v>0</v>
      </c>
      <c r="F95" s="153"/>
      <c r="G95" s="153"/>
      <c r="H95" s="153">
        <f>IF($E$42="",0,ROUNDDOWN(ROUNDDOWN(SUMPRODUCT($T$42,$G$42,$AC$42),0)*$E$5%,0))</f>
        <v>0</v>
      </c>
      <c r="I95" s="153"/>
      <c r="J95" s="153"/>
      <c r="K95" s="153">
        <f>IF($E$42="",0,IF($E$91=0,ROUNDDOWN(($G$42*$AC$42*$AF$42),0),IF($E$91=1,ROUNDDOWN(($G$42*$AH$42*$AK$42),0),"ERROR")))</f>
        <v>0</v>
      </c>
      <c r="L95" s="153"/>
      <c r="M95" s="153"/>
      <c r="N95" s="153">
        <f>IF(K95=0,0,$M$5)</f>
        <v>0</v>
      </c>
      <c r="O95" s="153"/>
      <c r="P95" s="153"/>
      <c r="Q95" s="153" t="str">
        <f>IF($AC$37=0,"軽減なし",$AC$37&amp;"割軽減")</f>
        <v>7割軽減</v>
      </c>
      <c r="R95" s="153"/>
      <c r="S95" s="153"/>
      <c r="T95" s="153">
        <f>ROUNDDOWN(K95*$AD$37,0)</f>
        <v>0</v>
      </c>
      <c r="U95" s="153"/>
      <c r="V95" s="153"/>
      <c r="W95" s="153">
        <f>ROUNDDOWN(N95*$AE$37,0)</f>
        <v>0</v>
      </c>
      <c r="X95" s="153"/>
      <c r="Y95" s="153"/>
      <c r="Z95" s="76" t="s">
        <v>0</v>
      </c>
      <c r="AA95" s="153">
        <f>SUM(K95:P95,H95)-SUM(T95:Y95)</f>
        <v>0</v>
      </c>
      <c r="AB95" s="153"/>
      <c r="AC95" s="153"/>
      <c r="AD95" s="76" t="s">
        <v>8</v>
      </c>
      <c r="AE95" s="153">
        <f>IF($E$42="",0,IF(AA95&gt;$Q$5/12*$G$42,ROUNDDOWN($Q$5/12*$G$42,0),ROUNDDOWN(AA95,-2)))</f>
        <v>0</v>
      </c>
      <c r="AF95" s="153"/>
      <c r="AG95" s="153"/>
      <c r="AS95" s="41">
        <f>IF(AND($AX$107&gt;=AT95,$AX$107&lt;=AX95),1,0)</f>
        <v>1</v>
      </c>
      <c r="AT95" s="87">
        <v>0</v>
      </c>
      <c r="AU95" s="87"/>
      <c r="AV95" s="87"/>
      <c r="AW95" s="79" t="s">
        <v>37</v>
      </c>
      <c r="AX95" s="87">
        <v>550999</v>
      </c>
      <c r="AY95" s="87"/>
      <c r="AZ95" s="87"/>
      <c r="BA95" s="88">
        <f>IF(AS95=1,0,0)</f>
        <v>0</v>
      </c>
      <c r="BB95" s="88"/>
      <c r="BC95" s="88"/>
      <c r="BE95" s="41">
        <f>IF(AND($BJ$107&gt;=BF95,$BJ$107&lt;=BJ95,$BL$111&lt;=10000000),1,(IF(AND($BJ$107&gt;=BF95,$BJ$107&lt;=BJ95,$BL$111&gt;10000000,$BL$111&lt;=20000000),2,(IF(AND($BJ$107&gt;=BF95,$BJ$107&lt;=BJ95,$BL$111&gt;20000000),3,0)))))</f>
        <v>1</v>
      </c>
      <c r="BF95" s="87">
        <v>0</v>
      </c>
      <c r="BG95" s="87"/>
      <c r="BH95" s="87"/>
      <c r="BI95" s="79" t="s">
        <v>37</v>
      </c>
      <c r="BJ95" s="87">
        <v>1299999</v>
      </c>
      <c r="BK95" s="87"/>
      <c r="BL95" s="87"/>
      <c r="BM95" s="88">
        <f>MAX(IF(BE95=1,BJ107-600000,IF(BE95=2,BJ107-500000,IF(BE95=3,BJ107-400000,0))),)</f>
        <v>0</v>
      </c>
      <c r="BN95" s="88"/>
      <c r="BO95" s="88"/>
      <c r="BP95" s="49"/>
      <c r="BQ95" s="41">
        <f>IF(AND($BV$107&gt;=BR95,$BV$107&lt;=BV95,$BX$111&lt;=10000000),1,(IF(AND($BV$107&gt;=BR95,$BV$107&lt;=BV95,$BX$111&gt;10000000,$BX$111&lt;=20000000),2,(IF(AND($BV$107&gt;=BR95,$BV$107&lt;=BV95,$BX$111&gt;20000000),3,0)))))</f>
        <v>1</v>
      </c>
      <c r="BR95" s="87">
        <v>0</v>
      </c>
      <c r="BS95" s="87"/>
      <c r="BT95" s="87"/>
      <c r="BU95" s="79" t="s">
        <v>37</v>
      </c>
      <c r="BV95" s="87">
        <v>3299999</v>
      </c>
      <c r="BW95" s="87"/>
      <c r="BX95" s="87"/>
      <c r="BY95" s="88">
        <f>MAX(IF(BQ95=1,BV107-1100000,IF(BQ95=2,BV107-1000000,IF(BQ95=3,BV107-900000,0))),)</f>
        <v>0</v>
      </c>
      <c r="BZ95" s="88"/>
      <c r="CA95" s="88"/>
    </row>
    <row r="96" spans="2:79" x14ac:dyDescent="0.15">
      <c r="AS96" s="41">
        <f t="shared" ref="AS96:AS104" si="23">IF(AND($AX$107&gt;=AT96,$AX$107&lt;=AX96),1,0)</f>
        <v>0</v>
      </c>
      <c r="AT96" s="87">
        <v>551000</v>
      </c>
      <c r="AU96" s="87"/>
      <c r="AV96" s="87"/>
      <c r="AW96" s="79" t="s">
        <v>37</v>
      </c>
      <c r="AX96" s="87">
        <v>1618999</v>
      </c>
      <c r="AY96" s="87"/>
      <c r="AZ96" s="87"/>
      <c r="BA96" s="88">
        <f>IF(AS96=1,AX107-550000,0)</f>
        <v>0</v>
      </c>
      <c r="BB96" s="88"/>
      <c r="BC96" s="88"/>
      <c r="BE96" s="41">
        <f t="shared" ref="BE96:BE98" si="24">IF(AND($BJ$107&gt;=BF96,$BJ$107&lt;=BJ96,$BL$111&lt;=10000000),1,(IF(AND($BJ$107&gt;=BF96,$BJ$107&lt;=BJ96,$BL$111&gt;10000000,$BL$111&lt;=20000000),2,(IF(AND($BJ$107&gt;=BF96,$BJ$107&lt;=BJ96,$BL$111&gt;20000000),3,0)))))</f>
        <v>0</v>
      </c>
      <c r="BF96" s="87">
        <v>1300000</v>
      </c>
      <c r="BG96" s="87"/>
      <c r="BH96" s="87"/>
      <c r="BI96" s="79" t="s">
        <v>37</v>
      </c>
      <c r="BJ96" s="87">
        <v>4099999</v>
      </c>
      <c r="BK96" s="87"/>
      <c r="BL96" s="87"/>
      <c r="BM96" s="88">
        <f>IF(BE96=1,BJ107*0.75-275000,IF(BE96=2,BJ107*0.75-175000,IF(BE96=3,BJ107*0.75-75000,0)))</f>
        <v>0</v>
      </c>
      <c r="BN96" s="88"/>
      <c r="BO96" s="88"/>
      <c r="BP96" s="49"/>
      <c r="BQ96" s="41">
        <f t="shared" ref="BQ96:BQ98" si="25">IF(AND($BV$107&gt;=BR96,$BV$107&lt;=BV96,$BX$111&lt;=10000000),1,(IF(AND($BV$107&gt;=BR96,$BV$107&lt;=BV96,$BX$111&gt;10000000,$BX$111&lt;=20000000),2,(IF(AND($BV$107&gt;=BR96,$BV$107&lt;=BV96,$BX$111&gt;20000000),3,0)))))</f>
        <v>0</v>
      </c>
      <c r="BR96" s="87">
        <v>3300000</v>
      </c>
      <c r="BS96" s="87"/>
      <c r="BT96" s="87"/>
      <c r="BU96" s="79" t="s">
        <v>37</v>
      </c>
      <c r="BV96" s="87">
        <v>4099999</v>
      </c>
      <c r="BW96" s="87"/>
      <c r="BX96" s="87"/>
      <c r="BY96" s="88">
        <f>IF(BQ96=1,BV107*0.75-275000,IF(BQ96=2,BV107*0.75-175000,IF(BQ96=3,BV107*0.75-75000,0)))</f>
        <v>0</v>
      </c>
      <c r="BZ96" s="88"/>
      <c r="CA96" s="88"/>
    </row>
    <row r="97" spans="2:79" x14ac:dyDescent="0.15">
      <c r="B97" s="2" t="s">
        <v>96</v>
      </c>
      <c r="D97" s="78" t="s">
        <v>91</v>
      </c>
      <c r="E97" s="65">
        <f>IF($E$26&lt;6,1,IF($E$26&gt;=6,0,"ERROR"))</f>
        <v>1</v>
      </c>
      <c r="I97" s="65"/>
      <c r="AS97" s="41">
        <f t="shared" si="23"/>
        <v>0</v>
      </c>
      <c r="AT97" s="87">
        <v>1619000</v>
      </c>
      <c r="AU97" s="87"/>
      <c r="AV97" s="87"/>
      <c r="AW97" s="79" t="s">
        <v>37</v>
      </c>
      <c r="AX97" s="87">
        <v>1619999</v>
      </c>
      <c r="AY97" s="87"/>
      <c r="AZ97" s="87"/>
      <c r="BA97" s="88">
        <f>IF(AS97=1,1069000,0)</f>
        <v>0</v>
      </c>
      <c r="BB97" s="88"/>
      <c r="BC97" s="88"/>
      <c r="BE97" s="41">
        <f t="shared" si="24"/>
        <v>0</v>
      </c>
      <c r="BF97" s="87">
        <v>4100000</v>
      </c>
      <c r="BG97" s="87"/>
      <c r="BH97" s="87"/>
      <c r="BI97" s="79" t="s">
        <v>37</v>
      </c>
      <c r="BJ97" s="87">
        <v>7699999</v>
      </c>
      <c r="BK97" s="87"/>
      <c r="BL97" s="87"/>
      <c r="BM97" s="88">
        <f>IF(BE97=1,BJ107*0.85-685000,IF(BE97=2,BJ107*0.85-585000,IF(BE97=3,BJ107*0.85-485000,0)))</f>
        <v>0</v>
      </c>
      <c r="BN97" s="88"/>
      <c r="BO97" s="88"/>
      <c r="BP97" s="49"/>
      <c r="BQ97" s="41">
        <f t="shared" si="25"/>
        <v>0</v>
      </c>
      <c r="BR97" s="87">
        <v>4100000</v>
      </c>
      <c r="BS97" s="87"/>
      <c r="BT97" s="87"/>
      <c r="BU97" s="79" t="s">
        <v>37</v>
      </c>
      <c r="BV97" s="87">
        <v>7699999</v>
      </c>
      <c r="BW97" s="87"/>
      <c r="BX97" s="87"/>
      <c r="BY97" s="88">
        <f>IF(BQ97=1,BV107*0.85-685000,IF(BQ97=2,BV107*0.85-585000,IF(BQ97=3,BV107*0.85-485000,0)))</f>
        <v>0</v>
      </c>
      <c r="BZ97" s="88"/>
      <c r="CA97" s="88"/>
    </row>
    <row r="98" spans="2:79" ht="39" customHeight="1" x14ac:dyDescent="0.15">
      <c r="D98" s="77"/>
      <c r="E98" s="154" t="s">
        <v>20</v>
      </c>
      <c r="F98" s="155"/>
      <c r="G98" s="155"/>
      <c r="H98" s="152" t="s">
        <v>7</v>
      </c>
      <c r="I98" s="152"/>
      <c r="J98" s="152"/>
      <c r="K98" s="152" t="s">
        <v>28</v>
      </c>
      <c r="L98" s="152"/>
      <c r="M98" s="152"/>
      <c r="N98" s="152" t="s">
        <v>29</v>
      </c>
      <c r="O98" s="152"/>
      <c r="P98" s="152"/>
      <c r="Q98" s="152" t="s">
        <v>6</v>
      </c>
      <c r="R98" s="152"/>
      <c r="S98" s="152"/>
      <c r="T98" s="156" t="s">
        <v>71</v>
      </c>
      <c r="U98" s="152"/>
      <c r="V98" s="152"/>
      <c r="W98" s="156" t="s">
        <v>72</v>
      </c>
      <c r="X98" s="152"/>
      <c r="Y98" s="152"/>
      <c r="AA98" s="152" t="s">
        <v>73</v>
      </c>
      <c r="AB98" s="152"/>
      <c r="AC98" s="152"/>
      <c r="AD98" s="77"/>
      <c r="AE98" s="152" t="s">
        <v>74</v>
      </c>
      <c r="AF98" s="152"/>
      <c r="AG98" s="152"/>
      <c r="AS98" s="41">
        <f t="shared" si="23"/>
        <v>0</v>
      </c>
      <c r="AT98" s="87">
        <v>1620000</v>
      </c>
      <c r="AU98" s="87"/>
      <c r="AV98" s="87"/>
      <c r="AW98" s="79" t="s">
        <v>37</v>
      </c>
      <c r="AX98" s="87">
        <v>1621999</v>
      </c>
      <c r="AY98" s="87"/>
      <c r="AZ98" s="87"/>
      <c r="BA98" s="88">
        <f>IF(AS98=1,1070000,0)</f>
        <v>0</v>
      </c>
      <c r="BB98" s="88"/>
      <c r="BC98" s="88"/>
      <c r="BE98" s="41">
        <f t="shared" si="24"/>
        <v>0</v>
      </c>
      <c r="BF98" s="87">
        <v>7700000</v>
      </c>
      <c r="BG98" s="87"/>
      <c r="BH98" s="87"/>
      <c r="BI98" s="79" t="s">
        <v>37</v>
      </c>
      <c r="BJ98" s="87">
        <v>9999999</v>
      </c>
      <c r="BK98" s="87"/>
      <c r="BL98" s="87"/>
      <c r="BM98" s="88">
        <f>IF(BE98=1,BJ107*0.95-1455000,IF(BE98=2,BJ107*0.95-1355000,IF(BE98=3,BJ107*0.95-1255000,0)))</f>
        <v>0</v>
      </c>
      <c r="BN98" s="88"/>
      <c r="BO98" s="88"/>
      <c r="BP98" s="49"/>
      <c r="BQ98" s="41">
        <f t="shared" si="25"/>
        <v>0</v>
      </c>
      <c r="BR98" s="87">
        <v>7700000</v>
      </c>
      <c r="BS98" s="87"/>
      <c r="BT98" s="87"/>
      <c r="BU98" s="79" t="s">
        <v>37</v>
      </c>
      <c r="BV98" s="87">
        <v>9999999</v>
      </c>
      <c r="BW98" s="87"/>
      <c r="BX98" s="87"/>
      <c r="BY98" s="88">
        <f>IF(BQ98=1,BV107*0.95-1455000,IF(BQ98=2,BV107*0.95-1355000,IF(BQ98=3,BV107*0.95-1255000,0)))</f>
        <v>0</v>
      </c>
      <c r="BZ98" s="88"/>
      <c r="CA98" s="88"/>
    </row>
    <row r="99" spans="2:79" ht="21" customHeight="1" x14ac:dyDescent="0.15">
      <c r="D99" s="77" t="s">
        <v>1</v>
      </c>
      <c r="E99" s="153">
        <f>IF($E$43="",0,ROUNDDOWN(SUMPRODUCT($T$43,$E$43,$AC$43),0))</f>
        <v>0</v>
      </c>
      <c r="F99" s="153"/>
      <c r="G99" s="153"/>
      <c r="H99" s="153">
        <f>IF($E$43="",0,ROUNDDOWN(ROUNDDOWN(SUMPRODUCT($T$43,$E$43,$AC$43),0)*$E$3%,0))</f>
        <v>0</v>
      </c>
      <c r="I99" s="153"/>
      <c r="J99" s="153"/>
      <c r="K99" s="153">
        <f>IF($E$43="",0,IF($E$97=0,ROUNDDOWN(($E$43*$AC$43*$AD$43),0),IF($E$97=1,ROUNDDOWN(($E$43*$AH$43*$AI$43),0),"ERROR")))</f>
        <v>0</v>
      </c>
      <c r="L99" s="153"/>
      <c r="M99" s="153"/>
      <c r="N99" s="153">
        <f>IF($E$43="",0,ROUNDDOWN(MAX($E$38:$F$45)*$M$3/12,0)/$E$46)</f>
        <v>0</v>
      </c>
      <c r="O99" s="153"/>
      <c r="P99" s="153"/>
      <c r="Q99" s="153" t="str">
        <f>IF($AC$37=0,"軽減なし",$AC$37&amp;"割軽減")</f>
        <v>7割軽減</v>
      </c>
      <c r="R99" s="153"/>
      <c r="S99" s="153"/>
      <c r="T99" s="153">
        <f>ROUNDDOWN(K99*$AD$37,0)</f>
        <v>0</v>
      </c>
      <c r="U99" s="153"/>
      <c r="V99" s="153"/>
      <c r="W99" s="153">
        <f>ROUNDDOWN(N99*$AE$37,0)</f>
        <v>0</v>
      </c>
      <c r="X99" s="153"/>
      <c r="Y99" s="153"/>
      <c r="Z99" s="76" t="s">
        <v>0</v>
      </c>
      <c r="AA99" s="153">
        <f>SUM(K99:P99,H99)-SUM(T99:Y99)</f>
        <v>0</v>
      </c>
      <c r="AB99" s="153"/>
      <c r="AC99" s="153"/>
      <c r="AD99" s="76" t="s">
        <v>8</v>
      </c>
      <c r="AE99" s="153">
        <f>IF($E$43="",0,IF(AA99&gt;$Q$3/12*$E$43,ROUNDDOWN($Q$3/12*$E$43,0),ROUNDDOWN(AA99,-2)))</f>
        <v>0</v>
      </c>
      <c r="AF99" s="153"/>
      <c r="AG99" s="153"/>
      <c r="AS99" s="41">
        <f t="shared" si="23"/>
        <v>0</v>
      </c>
      <c r="AT99" s="87">
        <v>1622000</v>
      </c>
      <c r="AU99" s="87"/>
      <c r="AV99" s="87"/>
      <c r="AW99" s="79" t="s">
        <v>37</v>
      </c>
      <c r="AX99" s="87">
        <v>1623999</v>
      </c>
      <c r="AY99" s="87"/>
      <c r="AZ99" s="87"/>
      <c r="BA99" s="88">
        <f>IF(AS99=1,1072000,0)</f>
        <v>0</v>
      </c>
      <c r="BB99" s="88"/>
      <c r="BC99" s="88"/>
      <c r="BE99" s="41">
        <f>IF(AND($BJ$107&gt;=BF99,$BL$111&lt;=10000000),1,(IF(AND($BJ$107&gt;=BF99,$BL$111&gt;10000000,$BL$111&lt;=20000000),2,(IF(AND($BJ$107&gt;=BF99,$BL$111&gt;20000000),3,0)))))</f>
        <v>0</v>
      </c>
      <c r="BF99" s="87">
        <v>10000000</v>
      </c>
      <c r="BG99" s="87"/>
      <c r="BH99" s="87"/>
      <c r="BI99" s="79" t="s">
        <v>37</v>
      </c>
      <c r="BJ99" s="87"/>
      <c r="BK99" s="87"/>
      <c r="BL99" s="87"/>
      <c r="BM99" s="88">
        <f>IF(BE99=1,BJ107-1955000,IF(BE99=2,BJ107-1855000,IF(BE99=3,BJ107-1755000,0)))</f>
        <v>0</v>
      </c>
      <c r="BN99" s="88"/>
      <c r="BO99" s="88"/>
      <c r="BP99" s="49"/>
      <c r="BQ99" s="41">
        <f>IF(AND($BV$107&gt;=BR99,$BX$111&lt;=10000000),1,(IF(AND($BV$107&gt;=BR99,$BX$111&gt;10000000,$BX$111&lt;=20000000),2,(IF(AND($BV$107&gt;=BR99,$BX$111&gt;20000000),3,0)))))</f>
        <v>0</v>
      </c>
      <c r="BR99" s="87">
        <v>10000000</v>
      </c>
      <c r="BS99" s="87"/>
      <c r="BT99" s="87"/>
      <c r="BU99" s="79" t="s">
        <v>37</v>
      </c>
      <c r="BV99" s="87"/>
      <c r="BW99" s="87"/>
      <c r="BX99" s="87"/>
      <c r="BY99" s="88">
        <f>IF(BQ99=1,BV107-1955000,IF(BQ99=2,BV107-1855000,IF(BQ99=3,BV107-1755000,0)))</f>
        <v>0</v>
      </c>
      <c r="BZ99" s="88"/>
      <c r="CA99" s="88"/>
    </row>
    <row r="100" spans="2:79" ht="21" customHeight="1" x14ac:dyDescent="0.15">
      <c r="D100" s="77" t="s">
        <v>2</v>
      </c>
      <c r="E100" s="153">
        <f>IF($E$43="",0,ROUNDDOWN(SUMPRODUCT($T$43,$E$43,$AC$43),0))</f>
        <v>0</v>
      </c>
      <c r="F100" s="153"/>
      <c r="G100" s="153"/>
      <c r="H100" s="153">
        <f>IF($E$43="",0,ROUNDDOWN(ROUNDDOWN(SUMPRODUCT($T$43,$E$43,$AC$43),0)*$E$4%,0))</f>
        <v>0</v>
      </c>
      <c r="I100" s="153"/>
      <c r="J100" s="153"/>
      <c r="K100" s="153">
        <f>IF($E$43="",0,IF($E$97=0,ROUNDDOWN(($E$43*$AC$43*$AE$43),0),IF($E$97=1,ROUNDDOWN(($E$43*$AH$43*$AJ$43),0),"ERROR")))</f>
        <v>0</v>
      </c>
      <c r="L100" s="153"/>
      <c r="M100" s="153"/>
      <c r="N100" s="153">
        <f>IF($E$43="",0,ROUNDDOWN(MAX($E$38:$F$45)*$M$4/12,0)/$E$46)</f>
        <v>0</v>
      </c>
      <c r="O100" s="153"/>
      <c r="P100" s="153"/>
      <c r="Q100" s="153" t="str">
        <f>IF($AC$37=0,"軽減なし",$AC$37&amp;"割軽減")</f>
        <v>7割軽減</v>
      </c>
      <c r="R100" s="153"/>
      <c r="S100" s="153"/>
      <c r="T100" s="153">
        <f>ROUNDDOWN(K100*$AD$37,0)</f>
        <v>0</v>
      </c>
      <c r="U100" s="153"/>
      <c r="V100" s="153"/>
      <c r="W100" s="153">
        <f>ROUNDDOWN(N100*$AE$37,0)</f>
        <v>0</v>
      </c>
      <c r="X100" s="153"/>
      <c r="Y100" s="153"/>
      <c r="Z100" s="76" t="s">
        <v>0</v>
      </c>
      <c r="AA100" s="153">
        <f>SUM(K100:P100,H100)-SUM(T100:Y100)</f>
        <v>0</v>
      </c>
      <c r="AB100" s="153"/>
      <c r="AC100" s="153"/>
      <c r="AD100" s="76" t="s">
        <v>8</v>
      </c>
      <c r="AE100" s="153">
        <f>IF($E$43="",0,IF(AA100&gt;$Q$4/12*$E$43,ROUNDDOWN($Q$4/12*$E$43,0),ROUNDDOWN(AA100,-2)))</f>
        <v>0</v>
      </c>
      <c r="AF100" s="153"/>
      <c r="AG100" s="153"/>
      <c r="AS100" s="41">
        <f t="shared" si="23"/>
        <v>0</v>
      </c>
      <c r="AT100" s="87">
        <v>1624000</v>
      </c>
      <c r="AU100" s="87"/>
      <c r="AV100" s="87"/>
      <c r="AW100" s="79" t="s">
        <v>37</v>
      </c>
      <c r="AX100" s="87">
        <v>1627999</v>
      </c>
      <c r="AY100" s="87"/>
      <c r="AZ100" s="87"/>
      <c r="BA100" s="88">
        <f>IF(AS100=1,1074000,0)</f>
        <v>0</v>
      </c>
      <c r="BB100" s="88"/>
      <c r="BC100" s="88"/>
      <c r="BE100" s="41"/>
      <c r="BF100" s="87"/>
      <c r="BG100" s="87"/>
      <c r="BH100" s="87"/>
      <c r="BI100" s="79" t="s">
        <v>37</v>
      </c>
      <c r="BJ100" s="87"/>
      <c r="BK100" s="87"/>
      <c r="BL100" s="87"/>
      <c r="BM100" s="88"/>
      <c r="BN100" s="88"/>
      <c r="BO100" s="88"/>
      <c r="BP100" s="49"/>
      <c r="BQ100" s="41"/>
      <c r="BR100" s="87"/>
      <c r="BS100" s="87"/>
      <c r="BT100" s="87"/>
      <c r="BU100" s="79" t="s">
        <v>37</v>
      </c>
      <c r="BV100" s="87"/>
      <c r="BW100" s="87"/>
      <c r="BX100" s="87"/>
      <c r="BY100" s="88"/>
      <c r="BZ100" s="88"/>
      <c r="CA100" s="88"/>
    </row>
    <row r="101" spans="2:79" ht="21" customHeight="1" x14ac:dyDescent="0.15">
      <c r="D101" s="77" t="s">
        <v>3</v>
      </c>
      <c r="E101" s="153">
        <f>IF($E$43="",0,ROUNDDOWN(SUMPRODUCT($T$43,$G$43,$AC$43),0))</f>
        <v>0</v>
      </c>
      <c r="F101" s="153"/>
      <c r="G101" s="153"/>
      <c r="H101" s="153">
        <f>IF($E$43="",0,ROUNDDOWN(ROUNDDOWN(SUMPRODUCT($T$43,$G$43,$AC$43),0)*$E$5%,0))</f>
        <v>0</v>
      </c>
      <c r="I101" s="153"/>
      <c r="J101" s="153"/>
      <c r="K101" s="153">
        <f>IF($E$43="",0,IF($E$97=0,ROUNDDOWN(($G$43*$AC$43*$AF$43),0),IF($E$97=1,ROUNDDOWN(($G$43*$AH$43*$AK$43),0),"ERROR")))</f>
        <v>0</v>
      </c>
      <c r="L101" s="153"/>
      <c r="M101" s="153"/>
      <c r="N101" s="153">
        <f>IF(K101=0,0,$M$5)</f>
        <v>0</v>
      </c>
      <c r="O101" s="153"/>
      <c r="P101" s="153"/>
      <c r="Q101" s="153" t="str">
        <f>IF($AC$37=0,"軽減なし",$AC$37&amp;"割軽減")</f>
        <v>7割軽減</v>
      </c>
      <c r="R101" s="153"/>
      <c r="S101" s="153"/>
      <c r="T101" s="153">
        <f>ROUNDDOWN(K101*$AD$37,0)</f>
        <v>0</v>
      </c>
      <c r="U101" s="153"/>
      <c r="V101" s="153"/>
      <c r="W101" s="153">
        <f>ROUNDDOWN(N101*$AE$37,0)</f>
        <v>0</v>
      </c>
      <c r="X101" s="153"/>
      <c r="Y101" s="153"/>
      <c r="Z101" s="76" t="s">
        <v>0</v>
      </c>
      <c r="AA101" s="153">
        <f>SUM(K101:P101,H101)-SUM(T101:Y101)</f>
        <v>0</v>
      </c>
      <c r="AB101" s="153"/>
      <c r="AC101" s="153"/>
      <c r="AD101" s="76" t="s">
        <v>8</v>
      </c>
      <c r="AE101" s="153">
        <f>IF($E$43="",0,IF(AA101&gt;$Q$5/12*$G$43,ROUNDDOWN($Q$5/12*$G$43,0),ROUNDDOWN(AA101,-2)))</f>
        <v>0</v>
      </c>
      <c r="AF101" s="153"/>
      <c r="AG101" s="153"/>
      <c r="AS101" s="41">
        <f t="shared" si="23"/>
        <v>0</v>
      </c>
      <c r="AT101" s="87">
        <v>1628000</v>
      </c>
      <c r="AU101" s="87"/>
      <c r="AV101" s="87"/>
      <c r="AW101" s="79" t="s">
        <v>37</v>
      </c>
      <c r="AX101" s="87">
        <v>1799999</v>
      </c>
      <c r="AY101" s="87"/>
      <c r="AZ101" s="87"/>
      <c r="BA101" s="88">
        <f>IF(AS101=1,ROUNDDOWN(AX107/4,-3)*2.4+100000,0)</f>
        <v>0</v>
      </c>
      <c r="BB101" s="88"/>
      <c r="BC101" s="88"/>
      <c r="BE101" s="41"/>
      <c r="BF101" s="87"/>
      <c r="BG101" s="87"/>
      <c r="BH101" s="87"/>
      <c r="BI101" s="79" t="s">
        <v>37</v>
      </c>
      <c r="BJ101" s="87"/>
      <c r="BK101" s="87"/>
      <c r="BL101" s="87"/>
      <c r="BM101" s="88"/>
      <c r="BN101" s="88"/>
      <c r="BO101" s="88"/>
      <c r="BP101" s="49"/>
      <c r="BQ101" s="41"/>
      <c r="BR101" s="87"/>
      <c r="BS101" s="87"/>
      <c r="BT101" s="87"/>
      <c r="BU101" s="79" t="s">
        <v>37</v>
      </c>
      <c r="BV101" s="87"/>
      <c r="BW101" s="87"/>
      <c r="BX101" s="87"/>
      <c r="BY101" s="88"/>
      <c r="BZ101" s="88"/>
      <c r="CA101" s="88"/>
    </row>
    <row r="102" spans="2:79" x14ac:dyDescent="0.15">
      <c r="AS102" s="41">
        <f t="shared" si="23"/>
        <v>0</v>
      </c>
      <c r="AT102" s="87">
        <v>1800000</v>
      </c>
      <c r="AU102" s="87"/>
      <c r="AV102" s="87"/>
      <c r="AW102" s="79" t="s">
        <v>37</v>
      </c>
      <c r="AX102" s="87">
        <v>3599999</v>
      </c>
      <c r="AY102" s="87"/>
      <c r="AZ102" s="87"/>
      <c r="BA102" s="88">
        <f>IF(AS102=1,ROUNDDOWN(AX107/4,-3)*2.8-80000,0)</f>
        <v>0</v>
      </c>
      <c r="BB102" s="88"/>
      <c r="BC102" s="88"/>
      <c r="BE102" s="41"/>
      <c r="BF102" s="87"/>
      <c r="BG102" s="87"/>
      <c r="BH102" s="87"/>
      <c r="BI102" s="79" t="s">
        <v>37</v>
      </c>
      <c r="BJ102" s="87"/>
      <c r="BK102" s="87"/>
      <c r="BL102" s="87"/>
      <c r="BM102" s="88"/>
      <c r="BN102" s="88"/>
      <c r="BO102" s="88"/>
      <c r="BP102" s="49"/>
      <c r="BQ102" s="41"/>
      <c r="BR102" s="87"/>
      <c r="BS102" s="87"/>
      <c r="BT102" s="87"/>
      <c r="BU102" s="79" t="s">
        <v>37</v>
      </c>
      <c r="BV102" s="87"/>
      <c r="BW102" s="87"/>
      <c r="BX102" s="87"/>
      <c r="BY102" s="88"/>
      <c r="BZ102" s="88"/>
      <c r="CA102" s="88"/>
    </row>
    <row r="103" spans="2:79" x14ac:dyDescent="0.15">
      <c r="B103" s="2" t="s">
        <v>97</v>
      </c>
      <c r="D103" s="78" t="s">
        <v>91</v>
      </c>
      <c r="E103" s="65">
        <f>IF($E$27&lt;6,1,IF($E$27&gt;=6,0,"ERROR"))</f>
        <v>1</v>
      </c>
      <c r="I103" s="65"/>
      <c r="AS103" s="41">
        <f t="shared" si="23"/>
        <v>0</v>
      </c>
      <c r="AT103" s="87">
        <v>3600000</v>
      </c>
      <c r="AU103" s="87"/>
      <c r="AV103" s="87"/>
      <c r="AW103" s="79" t="s">
        <v>37</v>
      </c>
      <c r="AX103" s="87">
        <v>6599999</v>
      </c>
      <c r="AY103" s="87"/>
      <c r="AZ103" s="87"/>
      <c r="BA103" s="88">
        <f>IF(AS103=1,ROUNDDOWN(AX107/4,-3)*3.2-440000,0)</f>
        <v>0</v>
      </c>
      <c r="BB103" s="88"/>
      <c r="BC103" s="88"/>
      <c r="BE103" s="41"/>
      <c r="BF103" s="87"/>
      <c r="BG103" s="87"/>
      <c r="BH103" s="87"/>
      <c r="BI103" s="79" t="s">
        <v>37</v>
      </c>
      <c r="BJ103" s="87"/>
      <c r="BK103" s="87"/>
      <c r="BL103" s="87"/>
      <c r="BM103" s="88"/>
      <c r="BN103" s="88"/>
      <c r="BO103" s="88"/>
      <c r="BP103" s="49"/>
      <c r="BQ103" s="41"/>
      <c r="BR103" s="87"/>
      <c r="BS103" s="87"/>
      <c r="BT103" s="87"/>
      <c r="BU103" s="79" t="s">
        <v>37</v>
      </c>
      <c r="BV103" s="87"/>
      <c r="BW103" s="87"/>
      <c r="BX103" s="87"/>
      <c r="BY103" s="88"/>
      <c r="BZ103" s="88"/>
      <c r="CA103" s="88"/>
    </row>
    <row r="104" spans="2:79" ht="39" customHeight="1" x14ac:dyDescent="0.15">
      <c r="D104" s="77"/>
      <c r="E104" s="154" t="s">
        <v>20</v>
      </c>
      <c r="F104" s="155"/>
      <c r="G104" s="155"/>
      <c r="H104" s="152" t="s">
        <v>7</v>
      </c>
      <c r="I104" s="152"/>
      <c r="J104" s="152"/>
      <c r="K104" s="152" t="s">
        <v>28</v>
      </c>
      <c r="L104" s="152"/>
      <c r="M104" s="152"/>
      <c r="N104" s="152" t="s">
        <v>29</v>
      </c>
      <c r="O104" s="152"/>
      <c r="P104" s="152"/>
      <c r="Q104" s="152" t="s">
        <v>6</v>
      </c>
      <c r="R104" s="152"/>
      <c r="S104" s="152"/>
      <c r="T104" s="156" t="s">
        <v>71</v>
      </c>
      <c r="U104" s="152"/>
      <c r="V104" s="152"/>
      <c r="W104" s="156" t="s">
        <v>72</v>
      </c>
      <c r="X104" s="152"/>
      <c r="Y104" s="152"/>
      <c r="AA104" s="152" t="s">
        <v>73</v>
      </c>
      <c r="AB104" s="152"/>
      <c r="AC104" s="152"/>
      <c r="AD104" s="77"/>
      <c r="AE104" s="152" t="s">
        <v>74</v>
      </c>
      <c r="AF104" s="152"/>
      <c r="AG104" s="152"/>
      <c r="AS104" s="41">
        <f t="shared" si="23"/>
        <v>0</v>
      </c>
      <c r="AT104" s="87">
        <v>6600000</v>
      </c>
      <c r="AU104" s="87"/>
      <c r="AV104" s="87"/>
      <c r="AW104" s="79" t="s">
        <v>37</v>
      </c>
      <c r="AX104" s="87">
        <v>8499999</v>
      </c>
      <c r="AY104" s="87"/>
      <c r="AZ104" s="87"/>
      <c r="BA104" s="88">
        <f>IF(AS104=1,AX107*0.9-1100000,0)</f>
        <v>0</v>
      </c>
      <c r="BB104" s="88"/>
      <c r="BC104" s="88"/>
      <c r="BE104" s="41"/>
      <c r="BF104" s="87"/>
      <c r="BG104" s="87"/>
      <c r="BH104" s="87"/>
      <c r="BI104" s="79" t="s">
        <v>37</v>
      </c>
      <c r="BJ104" s="87"/>
      <c r="BK104" s="87"/>
      <c r="BL104" s="87"/>
      <c r="BM104" s="88"/>
      <c r="BN104" s="88"/>
      <c r="BO104" s="88"/>
      <c r="BP104" s="49"/>
      <c r="BQ104" s="41"/>
      <c r="BR104" s="87"/>
      <c r="BS104" s="87"/>
      <c r="BT104" s="87"/>
      <c r="BU104" s="79" t="s">
        <v>37</v>
      </c>
      <c r="BV104" s="87"/>
      <c r="BW104" s="87"/>
      <c r="BX104" s="87"/>
      <c r="BY104" s="88"/>
      <c r="BZ104" s="88"/>
      <c r="CA104" s="88"/>
    </row>
    <row r="105" spans="2:79" ht="21" customHeight="1" x14ac:dyDescent="0.15">
      <c r="D105" s="77" t="s">
        <v>1</v>
      </c>
      <c r="E105" s="153">
        <f>IF($E$44="",0,ROUNDDOWN(SUMPRODUCT($T$44,$E$44,$AC$44),0))</f>
        <v>0</v>
      </c>
      <c r="F105" s="153"/>
      <c r="G105" s="153"/>
      <c r="H105" s="153">
        <f>IF($E$44="",0,ROUNDDOWN(ROUNDDOWN(SUMPRODUCT($T$44,$E$44,$AC$44),0)*$E$3%,0))</f>
        <v>0</v>
      </c>
      <c r="I105" s="153"/>
      <c r="J105" s="153"/>
      <c r="K105" s="153">
        <f>IF($E$44="",0,IF($E$103=0,ROUNDDOWN(($E$44*$AC$44*$AD$44),0),IF($E$103=1,ROUNDDOWN(($E$44*$AH$44*$AI$44),0),"ERROR")))</f>
        <v>0</v>
      </c>
      <c r="L105" s="153"/>
      <c r="M105" s="153"/>
      <c r="N105" s="153">
        <f>IF($E$44="",0,ROUNDDOWN(MAX($E$38:$F$45)*$M$3/12,0)/$E$46)</f>
        <v>0</v>
      </c>
      <c r="O105" s="153"/>
      <c r="P105" s="153"/>
      <c r="Q105" s="153" t="str">
        <f>IF($AC$37=0,"軽減なし",$AC$37&amp;"割軽減")</f>
        <v>7割軽減</v>
      </c>
      <c r="R105" s="153"/>
      <c r="S105" s="153"/>
      <c r="T105" s="153">
        <f>ROUNDDOWN(K105*$AD$37,0)</f>
        <v>0</v>
      </c>
      <c r="U105" s="153"/>
      <c r="V105" s="153"/>
      <c r="W105" s="153">
        <f>ROUNDDOWN(N105*$AE$37,0)</f>
        <v>0</v>
      </c>
      <c r="X105" s="153"/>
      <c r="Y105" s="153"/>
      <c r="Z105" s="76" t="s">
        <v>0</v>
      </c>
      <c r="AA105" s="153">
        <f>SUM(K105:P105,H105)-SUM(T105:Y105)</f>
        <v>0</v>
      </c>
      <c r="AB105" s="153"/>
      <c r="AC105" s="153"/>
      <c r="AD105" s="76" t="s">
        <v>8</v>
      </c>
      <c r="AE105" s="153">
        <f>IF($E$44="",0,IF(AA105&gt;$Q$3/12*$E$44,ROUNDDOWN($Q$3/12*$E$44,0),ROUNDDOWN(AA105,-2)))</f>
        <v>0</v>
      </c>
      <c r="AF105" s="153"/>
      <c r="AG105" s="153"/>
      <c r="AS105" s="41">
        <f>IF($AX$107&gt;=AT105,1,0)</f>
        <v>0</v>
      </c>
      <c r="AT105" s="87">
        <v>8500000</v>
      </c>
      <c r="AU105" s="87"/>
      <c r="AV105" s="87"/>
      <c r="AW105" s="79" t="s">
        <v>37</v>
      </c>
      <c r="AX105" s="87"/>
      <c r="AY105" s="87"/>
      <c r="AZ105" s="87"/>
      <c r="BA105" s="88">
        <f>IF(AS105=1,AX107-1950000,0)</f>
        <v>0</v>
      </c>
      <c r="BB105" s="88"/>
      <c r="BC105" s="88"/>
      <c r="BE105" s="41"/>
      <c r="BF105" s="87"/>
      <c r="BG105" s="87"/>
      <c r="BH105" s="87"/>
      <c r="BI105" s="79" t="s">
        <v>37</v>
      </c>
      <c r="BJ105" s="87"/>
      <c r="BK105" s="87"/>
      <c r="BL105" s="87"/>
      <c r="BM105" s="88"/>
      <c r="BN105" s="88"/>
      <c r="BO105" s="88"/>
      <c r="BP105" s="49"/>
      <c r="BQ105" s="41"/>
      <c r="BR105" s="87"/>
      <c r="BS105" s="87"/>
      <c r="BT105" s="87"/>
      <c r="BU105" s="79" t="s">
        <v>37</v>
      </c>
      <c r="BV105" s="87"/>
      <c r="BW105" s="87"/>
      <c r="BX105" s="87"/>
      <c r="BY105" s="88"/>
      <c r="BZ105" s="88"/>
      <c r="CA105" s="88"/>
    </row>
    <row r="106" spans="2:79" ht="21" customHeight="1" x14ac:dyDescent="0.15">
      <c r="D106" s="77" t="s">
        <v>2</v>
      </c>
      <c r="E106" s="153">
        <f>IF($E$44="",0,ROUNDDOWN(SUMPRODUCT($T$44,$E$44,$AC$44),0))</f>
        <v>0</v>
      </c>
      <c r="F106" s="153"/>
      <c r="G106" s="153"/>
      <c r="H106" s="153">
        <f>IF($E$44="",0,ROUNDDOWN(ROUNDDOWN(SUMPRODUCT($T$44,$E$44,$AC$44),0)*$E$4%,0))</f>
        <v>0</v>
      </c>
      <c r="I106" s="153"/>
      <c r="J106" s="153"/>
      <c r="K106" s="153">
        <f>IF($E$44="",0,IF($E$103=0,ROUNDDOWN(($E$44*$AC$44*$AE$44),0),IF($E$103=1,ROUNDDOWN(($E$44*$AH$44*$AJ$44),0),"ERROR")))</f>
        <v>0</v>
      </c>
      <c r="L106" s="153"/>
      <c r="M106" s="153"/>
      <c r="N106" s="153">
        <f>IF($E$44="",0,ROUNDDOWN(MAX($E$38:$F$45)*$M$4/12,0)/$E$46)</f>
        <v>0</v>
      </c>
      <c r="O106" s="153"/>
      <c r="P106" s="153"/>
      <c r="Q106" s="153" t="str">
        <f>IF($AC$37=0,"軽減なし",$AC$37&amp;"割軽減")</f>
        <v>7割軽減</v>
      </c>
      <c r="R106" s="153"/>
      <c r="S106" s="153"/>
      <c r="T106" s="153">
        <f>ROUNDDOWN(K106*$AD$37,0)</f>
        <v>0</v>
      </c>
      <c r="U106" s="153"/>
      <c r="V106" s="153"/>
      <c r="W106" s="153">
        <f>ROUNDDOWN(N106*$AE$37,0)</f>
        <v>0</v>
      </c>
      <c r="X106" s="153"/>
      <c r="Y106" s="153"/>
      <c r="Z106" s="76" t="s">
        <v>0</v>
      </c>
      <c r="AA106" s="153">
        <f>SUM(K106:P106,H106)-SUM(T106:Y106)</f>
        <v>0</v>
      </c>
      <c r="AB106" s="153"/>
      <c r="AC106" s="153"/>
      <c r="AD106" s="76" t="s">
        <v>8</v>
      </c>
      <c r="AE106" s="153">
        <f>IF($E$44="",0,IF(AA106&gt;$Q$4/12*$E$44,ROUNDDOWN($Q$4/12*$E$44,0),ROUNDDOWN(AA106,-2)))</f>
        <v>0</v>
      </c>
      <c r="AF106" s="153"/>
      <c r="AG106" s="153"/>
      <c r="AS106" s="78"/>
      <c r="AT106" s="46"/>
      <c r="AU106" s="46"/>
      <c r="AV106" s="46"/>
      <c r="AW106" s="78"/>
      <c r="AX106" s="38"/>
      <c r="AY106" s="38"/>
      <c r="AZ106" s="38"/>
      <c r="BA106" s="43"/>
      <c r="BB106" s="43"/>
      <c r="BC106" s="43"/>
      <c r="BE106" s="78"/>
      <c r="BF106" s="46"/>
      <c r="BG106" s="46"/>
      <c r="BH106" s="46"/>
      <c r="BI106" s="78"/>
      <c r="BJ106" s="38"/>
      <c r="BK106" s="38"/>
      <c r="BL106" s="38"/>
      <c r="BM106" s="43"/>
      <c r="BN106" s="43"/>
      <c r="BO106" s="43"/>
      <c r="BP106" s="43"/>
      <c r="BQ106" s="78"/>
      <c r="BR106" s="46"/>
      <c r="BS106" s="46"/>
      <c r="BT106" s="46"/>
      <c r="BU106" s="78"/>
      <c r="BV106" s="38"/>
      <c r="BW106" s="38"/>
      <c r="BX106" s="38"/>
      <c r="BY106" s="43"/>
      <c r="BZ106" s="43"/>
      <c r="CA106" s="43"/>
    </row>
    <row r="107" spans="2:79" ht="21" customHeight="1" x14ac:dyDescent="0.15">
      <c r="D107" s="77" t="s">
        <v>3</v>
      </c>
      <c r="E107" s="153">
        <f>IF($E$44="",0,ROUNDDOWN(SUMPRODUCT($T$44,$G$44,$AC$44),0))</f>
        <v>0</v>
      </c>
      <c r="F107" s="153"/>
      <c r="G107" s="153"/>
      <c r="H107" s="153">
        <f>IF($E$44="",0,ROUNDDOWN(ROUNDDOWN(SUMPRODUCT($T$44,$G$44,$AC$44),0)*$E$5%,0))</f>
        <v>0</v>
      </c>
      <c r="I107" s="153"/>
      <c r="J107" s="153"/>
      <c r="K107" s="153">
        <f>IF($E$44="",0,IF($E$103=0,ROUNDDOWN(($G$44*$AC$44*$AF$44),0),IF($E$103=1,ROUNDDOWN(($G$44*$AH$44*$AK$44),0),"ERROR")))</f>
        <v>0</v>
      </c>
      <c r="L107" s="153"/>
      <c r="M107" s="153"/>
      <c r="N107" s="153">
        <f>IF(K107=0,0,$M$5)</f>
        <v>0</v>
      </c>
      <c r="O107" s="153"/>
      <c r="P107" s="153"/>
      <c r="Q107" s="153" t="str">
        <f>IF($AC$37=0,"軽減なし",$AC$37&amp;"割軽減")</f>
        <v>7割軽減</v>
      </c>
      <c r="R107" s="153"/>
      <c r="S107" s="153"/>
      <c r="T107" s="153">
        <f>ROUNDDOWN(K107*$AD$37,0)</f>
        <v>0</v>
      </c>
      <c r="U107" s="153"/>
      <c r="V107" s="153"/>
      <c r="W107" s="153">
        <f>ROUNDDOWN(N107*$AE$37,0)</f>
        <v>0</v>
      </c>
      <c r="X107" s="153"/>
      <c r="Y107" s="153"/>
      <c r="Z107" s="76" t="s">
        <v>0</v>
      </c>
      <c r="AA107" s="153">
        <f>SUM(K107:P107,H107)-SUM(T107:Y107)</f>
        <v>0</v>
      </c>
      <c r="AB107" s="153"/>
      <c r="AC107" s="153"/>
      <c r="AD107" s="76" t="s">
        <v>8</v>
      </c>
      <c r="AE107" s="153">
        <f>IF($E$44="",0,IF(AA107&gt;$Q$5/12*$G$44,ROUNDDOWN($Q$5/12*$G$44,0),ROUNDDOWN(AA107,-2)))</f>
        <v>0</v>
      </c>
      <c r="AF107" s="153"/>
      <c r="AG107" s="153"/>
      <c r="AS107" s="78"/>
      <c r="AT107" s="104" t="s">
        <v>31</v>
      </c>
      <c r="AU107" s="104"/>
      <c r="AV107" s="104"/>
      <c r="AW107" s="104"/>
      <c r="AX107" s="105">
        <f>F24</f>
        <v>0</v>
      </c>
      <c r="AY107" s="106"/>
      <c r="AZ107" s="107"/>
      <c r="BA107" s="44"/>
      <c r="BB107" s="45"/>
      <c r="BC107" s="45"/>
      <c r="BE107" s="78"/>
      <c r="BF107" s="104" t="s">
        <v>43</v>
      </c>
      <c r="BG107" s="104"/>
      <c r="BH107" s="104"/>
      <c r="BI107" s="104"/>
      <c r="BJ107" s="108">
        <f>J24</f>
        <v>0</v>
      </c>
      <c r="BK107" s="108"/>
      <c r="BL107" s="108"/>
      <c r="BM107" s="44"/>
      <c r="BN107" s="45"/>
      <c r="BO107" s="45"/>
      <c r="BP107" s="45"/>
      <c r="BQ107" s="78"/>
      <c r="BR107" s="104" t="s">
        <v>43</v>
      </c>
      <c r="BS107" s="104"/>
      <c r="BT107" s="104"/>
      <c r="BU107" s="104"/>
      <c r="BV107" s="108">
        <f>BJ107</f>
        <v>0</v>
      </c>
      <c r="BW107" s="108"/>
      <c r="BX107" s="108"/>
      <c r="BY107" s="44"/>
      <c r="BZ107" s="45"/>
      <c r="CA107" s="45"/>
    </row>
    <row r="108" spans="2:79" x14ac:dyDescent="0.15">
      <c r="AT108" s="104" t="s">
        <v>42</v>
      </c>
      <c r="AU108" s="104"/>
      <c r="AV108" s="104"/>
      <c r="AW108" s="104"/>
      <c r="AX108" s="119">
        <f>SUM(BA95:BC105)</f>
        <v>0</v>
      </c>
      <c r="AY108" s="112"/>
      <c r="AZ108" s="112"/>
      <c r="BF108" s="104" t="s">
        <v>44</v>
      </c>
      <c r="BG108" s="104"/>
      <c r="BH108" s="104"/>
      <c r="BI108" s="104"/>
      <c r="BJ108" s="119">
        <f>SUM(BM95:BO105)</f>
        <v>0</v>
      </c>
      <c r="BK108" s="112"/>
      <c r="BL108" s="112"/>
      <c r="BM108" s="65">
        <f>IF(D24&lt;65,1,0)</f>
        <v>1</v>
      </c>
      <c r="BR108" s="104" t="s">
        <v>44</v>
      </c>
      <c r="BS108" s="104"/>
      <c r="BT108" s="104"/>
      <c r="BU108" s="104"/>
      <c r="BV108" s="119">
        <f>SUM(BY95:CA105)</f>
        <v>0</v>
      </c>
      <c r="BW108" s="112"/>
      <c r="BX108" s="112"/>
      <c r="BY108" s="65">
        <f>IF(D24&lt;65,0,1)</f>
        <v>0</v>
      </c>
    </row>
    <row r="109" spans="2:79" x14ac:dyDescent="0.15">
      <c r="B109" s="2" t="s">
        <v>98</v>
      </c>
      <c r="D109" s="78" t="s">
        <v>91</v>
      </c>
      <c r="E109" s="65">
        <f>IF($E$28&lt;6,1,IF($E$28&gt;=6,0,"ERROR"))</f>
        <v>1</v>
      </c>
      <c r="I109" s="65"/>
      <c r="BJ109" s="47"/>
      <c r="BK109" s="47"/>
      <c r="BL109" s="47"/>
      <c r="BV109" s="47"/>
      <c r="BW109" s="47"/>
      <c r="BX109" s="47"/>
    </row>
    <row r="110" spans="2:79" ht="39" customHeight="1" x14ac:dyDescent="0.15">
      <c r="D110" s="77"/>
      <c r="E110" s="154" t="s">
        <v>20</v>
      </c>
      <c r="F110" s="155"/>
      <c r="G110" s="155"/>
      <c r="H110" s="152" t="s">
        <v>7</v>
      </c>
      <c r="I110" s="152"/>
      <c r="J110" s="152"/>
      <c r="K110" s="152" t="s">
        <v>28</v>
      </c>
      <c r="L110" s="152"/>
      <c r="M110" s="152"/>
      <c r="N110" s="152" t="s">
        <v>29</v>
      </c>
      <c r="O110" s="152"/>
      <c r="P110" s="152"/>
      <c r="Q110" s="152" t="s">
        <v>6</v>
      </c>
      <c r="R110" s="152"/>
      <c r="S110" s="152"/>
      <c r="T110" s="156" t="s">
        <v>71</v>
      </c>
      <c r="U110" s="152"/>
      <c r="V110" s="152"/>
      <c r="W110" s="156" t="s">
        <v>72</v>
      </c>
      <c r="X110" s="152"/>
      <c r="Y110" s="152"/>
      <c r="AA110" s="152" t="s">
        <v>73</v>
      </c>
      <c r="AB110" s="152"/>
      <c r="AC110" s="152"/>
      <c r="AD110" s="77"/>
      <c r="AE110" s="152" t="s">
        <v>74</v>
      </c>
      <c r="AF110" s="152"/>
      <c r="AG110" s="152"/>
      <c r="BE110" s="112" t="s">
        <v>45</v>
      </c>
      <c r="BF110" s="112"/>
      <c r="BG110" s="112"/>
      <c r="BH110" s="112"/>
      <c r="BI110" s="112"/>
      <c r="BJ110" s="112"/>
      <c r="BK110" s="112"/>
      <c r="BL110" s="112"/>
      <c r="BM110" s="112"/>
      <c r="BN110" s="112"/>
      <c r="BO110" s="112"/>
      <c r="BP110" s="69"/>
      <c r="BQ110" s="112" t="s">
        <v>45</v>
      </c>
      <c r="BR110" s="112"/>
      <c r="BS110" s="112"/>
      <c r="BT110" s="112"/>
      <c r="BU110" s="112"/>
      <c r="BV110" s="112"/>
      <c r="BW110" s="112"/>
      <c r="BX110" s="112"/>
      <c r="BY110" s="112"/>
      <c r="BZ110" s="112"/>
      <c r="CA110" s="112"/>
    </row>
    <row r="111" spans="2:79" ht="21" customHeight="1" x14ac:dyDescent="0.15">
      <c r="D111" s="77" t="s">
        <v>1</v>
      </c>
      <c r="E111" s="153">
        <f>IF($E$45="",0,ROUNDDOWN(SUMPRODUCT($T$45,$E$45,$AC$45),0))</f>
        <v>0</v>
      </c>
      <c r="F111" s="153"/>
      <c r="G111" s="153"/>
      <c r="H111" s="153">
        <f>IF($E$45="",0,ROUNDDOWN(ROUNDDOWN(SUMPRODUCT($T$45,$E$45,$AC$45),0)*$E$3%,0))</f>
        <v>0</v>
      </c>
      <c r="I111" s="153"/>
      <c r="J111" s="153"/>
      <c r="K111" s="153">
        <f>IF($E$45="",0,IF($E$109=0,ROUNDDOWN(($E$45*$AC$45*$AD$45),0),IF($E$109=1,ROUNDDOWN(($E$45*$AH$45*$AI$45),0),"ERROR")))</f>
        <v>0</v>
      </c>
      <c r="L111" s="153"/>
      <c r="M111" s="153"/>
      <c r="N111" s="153">
        <f>IF($E$45="",0,ROUNDDOWN(MAX($E$38:$F$45)*$M$3/12,0)/$E$46)</f>
        <v>0</v>
      </c>
      <c r="O111" s="153"/>
      <c r="P111" s="153"/>
      <c r="Q111" s="153" t="str">
        <f>IF($AC$37=0,"軽減なし",$AC$37&amp;"割軽減")</f>
        <v>7割軽減</v>
      </c>
      <c r="R111" s="153"/>
      <c r="S111" s="153"/>
      <c r="T111" s="153">
        <f>ROUNDDOWN(K111*$AD$37,0)</f>
        <v>0</v>
      </c>
      <c r="U111" s="153"/>
      <c r="V111" s="153"/>
      <c r="W111" s="153">
        <f>ROUNDDOWN(N111*$AE$37,0)</f>
        <v>0</v>
      </c>
      <c r="X111" s="153"/>
      <c r="Y111" s="153"/>
      <c r="Z111" s="76" t="s">
        <v>0</v>
      </c>
      <c r="AA111" s="153">
        <f>SUM(K111:P111,H111)-SUM(T111:Y111)</f>
        <v>0</v>
      </c>
      <c r="AB111" s="153"/>
      <c r="AC111" s="153"/>
      <c r="AD111" s="76" t="s">
        <v>8</v>
      </c>
      <c r="AE111" s="153">
        <f>IF($E$45="",0,IF(AA111&gt;$Q$3/12*$E$45,ROUNDDOWN($Q$3/12*$E$45,0),ROUNDDOWN(AA111,-2)))</f>
        <v>0</v>
      </c>
      <c r="AF111" s="153"/>
      <c r="AG111" s="153"/>
      <c r="BL111" s="118">
        <f>V24</f>
        <v>0</v>
      </c>
      <c r="BM111" s="118"/>
      <c r="BN111" s="118"/>
      <c r="BO111" s="118"/>
      <c r="BP111" s="50"/>
      <c r="BX111" s="118">
        <f>BL111</f>
        <v>0</v>
      </c>
      <c r="BY111" s="118"/>
      <c r="BZ111" s="118"/>
      <c r="CA111" s="118"/>
    </row>
    <row r="112" spans="2:79" ht="21" customHeight="1" x14ac:dyDescent="0.15">
      <c r="D112" s="77" t="s">
        <v>2</v>
      </c>
      <c r="E112" s="153">
        <f>IF($E$45="",0,ROUNDDOWN(SUMPRODUCT($T$45,$E$45,$AC$45),0))</f>
        <v>0</v>
      </c>
      <c r="F112" s="153"/>
      <c r="G112" s="153"/>
      <c r="H112" s="153">
        <f>IF($E$45="",0,ROUNDDOWN(ROUNDDOWN(SUMPRODUCT($T$45,$E$45,$AC$45),0)*$E$4%,0))</f>
        <v>0</v>
      </c>
      <c r="I112" s="153"/>
      <c r="J112" s="153"/>
      <c r="K112" s="153">
        <f>IF($E$45="",0,IF($E$109=0,ROUNDDOWN(($E$45*$AC$45*$AE$45),0),IF($E$109=1,ROUNDDOWN(($E$45*$AH$45*$AJ$45),0),"ERROR")))</f>
        <v>0</v>
      </c>
      <c r="L112" s="153"/>
      <c r="M112" s="153"/>
      <c r="N112" s="153">
        <f>IF($E$45="",0,ROUNDDOWN(MAX($E$38:$F$45)*$M$4/12,0)/$E$46)</f>
        <v>0</v>
      </c>
      <c r="O112" s="153"/>
      <c r="P112" s="153"/>
      <c r="Q112" s="153" t="str">
        <f>IF($AC$37=0,"軽減なし",$AC$37&amp;"割軽減")</f>
        <v>7割軽減</v>
      </c>
      <c r="R112" s="153"/>
      <c r="S112" s="153"/>
      <c r="T112" s="153">
        <f>ROUNDDOWN(K112*$AD$37,0)</f>
        <v>0</v>
      </c>
      <c r="U112" s="153"/>
      <c r="V112" s="153"/>
      <c r="W112" s="153">
        <f>ROUNDDOWN(N112*$AE$37,0)</f>
        <v>0</v>
      </c>
      <c r="X112" s="153"/>
      <c r="Y112" s="153"/>
      <c r="Z112" s="76" t="s">
        <v>0</v>
      </c>
      <c r="AA112" s="153">
        <f>SUM(K112:P112,H112)-SUM(T112:Y112)</f>
        <v>0</v>
      </c>
      <c r="AB112" s="153"/>
      <c r="AC112" s="153"/>
      <c r="AD112" s="76" t="s">
        <v>8</v>
      </c>
      <c r="AE112" s="153">
        <f>IF($E$45="",0,IF(AA112&gt;$Q$4/12*$E$45,ROUNDDOWN($Q$4/12*$E$45,0),ROUNDDOWN(AA112,-2)))</f>
        <v>0</v>
      </c>
      <c r="AF112" s="153"/>
      <c r="AG112" s="153"/>
      <c r="AT112" t="s">
        <v>77</v>
      </c>
    </row>
    <row r="113" spans="2:79" ht="21" customHeight="1" x14ac:dyDescent="0.15">
      <c r="D113" s="77" t="s">
        <v>3</v>
      </c>
      <c r="E113" s="153">
        <f>IF($E$45="",0,ROUNDDOWN(SUMPRODUCT($T$45,$G$45,$AC$45),0))</f>
        <v>0</v>
      </c>
      <c r="F113" s="153"/>
      <c r="G113" s="153"/>
      <c r="H113" s="153">
        <f>IF($E$45="",0,ROUNDDOWN(ROUNDDOWN(SUMPRODUCT($T$45,$G$45,$AC$45),0)*$E$5%,0))</f>
        <v>0</v>
      </c>
      <c r="I113" s="153"/>
      <c r="J113" s="153"/>
      <c r="K113" s="153">
        <f>IF($E$45="",0,IF($E$109=0,ROUNDDOWN(($G$45*$AC$45*$AF$45),0),IF($E$109=1,ROUNDDOWN(($G$45*$AH$45*$AK$45),0),"ERROR")))</f>
        <v>0</v>
      </c>
      <c r="L113" s="153"/>
      <c r="M113" s="153"/>
      <c r="N113" s="153">
        <f>IF(K113=0,0,$M$5)</f>
        <v>0</v>
      </c>
      <c r="O113" s="153"/>
      <c r="P113" s="153"/>
      <c r="Q113" s="153" t="str">
        <f>IF($AC$37=0,"軽減なし",$AC$37&amp;"割軽減")</f>
        <v>7割軽減</v>
      </c>
      <c r="R113" s="153"/>
      <c r="S113" s="153"/>
      <c r="T113" s="153">
        <f>ROUNDDOWN(K113*$AD$37,0)</f>
        <v>0</v>
      </c>
      <c r="U113" s="153"/>
      <c r="V113" s="153"/>
      <c r="W113" s="153">
        <f>ROUNDDOWN(N113*$AE$37,0)</f>
        <v>0</v>
      </c>
      <c r="X113" s="153"/>
      <c r="Y113" s="153"/>
      <c r="Z113" s="76" t="s">
        <v>0</v>
      </c>
      <c r="AA113" s="153">
        <f>SUM(K113:P113,H113)-SUM(T113:Y113)</f>
        <v>0</v>
      </c>
      <c r="AB113" s="153"/>
      <c r="AC113" s="153"/>
      <c r="AD113" s="76" t="s">
        <v>8</v>
      </c>
      <c r="AE113" s="153">
        <f>IF($E$45="",0,IF(AA113&gt;$Q$5/12*$G$45,ROUNDDOWN($Q$5/12*$G$45,0),ROUNDDOWN(AA113,-2)))</f>
        <v>0</v>
      </c>
      <c r="AF113" s="153"/>
      <c r="AG113" s="153"/>
      <c r="AT113" s="112" t="s">
        <v>42</v>
      </c>
      <c r="AU113" s="112"/>
      <c r="AV113" s="112"/>
      <c r="AW113" s="112"/>
      <c r="AX113" s="119">
        <f>AX108</f>
        <v>0</v>
      </c>
      <c r="AY113" s="112"/>
      <c r="AZ113" s="112"/>
      <c r="BB113" t="s">
        <v>87</v>
      </c>
    </row>
    <row r="114" spans="2:79" x14ac:dyDescent="0.15">
      <c r="AT114" s="112" t="s">
        <v>48</v>
      </c>
      <c r="AU114" s="112"/>
      <c r="AV114" s="112"/>
      <c r="AW114" s="112"/>
      <c r="AX114" s="143">
        <f>IF(BM108=1,BJ108,IF(BY108=1,BV108,0))</f>
        <v>0</v>
      </c>
      <c r="AY114" s="143"/>
      <c r="AZ114" s="143"/>
      <c r="BB114" t="s">
        <v>86</v>
      </c>
    </row>
    <row r="115" spans="2:79" x14ac:dyDescent="0.15">
      <c r="B115" s="80" t="s">
        <v>49</v>
      </c>
      <c r="C115" s="80"/>
      <c r="D115" s="81"/>
      <c r="E115" s="82"/>
      <c r="F115" s="80"/>
      <c r="G115" s="80"/>
      <c r="H115" s="80"/>
      <c r="I115" s="82"/>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T115" s="112" t="s">
        <v>49</v>
      </c>
      <c r="AU115" s="112"/>
      <c r="AV115" s="112"/>
      <c r="AW115" s="112"/>
      <c r="AX115" s="119">
        <f>SUM(AX113:AZ114)+IF((AND(AX113&gt;0,AX114&gt;0,(AX113+AX114)&gt;100000)),-100000,0)</f>
        <v>0</v>
      </c>
      <c r="AY115" s="112"/>
      <c r="AZ115" s="112"/>
      <c r="BB115" t="s">
        <v>70</v>
      </c>
      <c r="BP115" s="70"/>
    </row>
    <row r="116" spans="2:79" ht="39" customHeight="1" x14ac:dyDescent="0.15">
      <c r="B116" s="80"/>
      <c r="C116" s="80"/>
      <c r="D116" s="83"/>
      <c r="E116" s="214" t="s">
        <v>20</v>
      </c>
      <c r="F116" s="215"/>
      <c r="G116" s="215"/>
      <c r="H116" s="212" t="s">
        <v>7</v>
      </c>
      <c r="I116" s="212"/>
      <c r="J116" s="212"/>
      <c r="K116" s="212" t="s">
        <v>28</v>
      </c>
      <c r="L116" s="212"/>
      <c r="M116" s="212"/>
      <c r="N116" s="212" t="s">
        <v>29</v>
      </c>
      <c r="O116" s="212"/>
      <c r="P116" s="212"/>
      <c r="Q116" s="212" t="s">
        <v>6</v>
      </c>
      <c r="R116" s="212"/>
      <c r="S116" s="212"/>
      <c r="T116" s="216" t="s">
        <v>71</v>
      </c>
      <c r="U116" s="212"/>
      <c r="V116" s="212"/>
      <c r="W116" s="216" t="s">
        <v>72</v>
      </c>
      <c r="X116" s="212"/>
      <c r="Y116" s="212"/>
      <c r="Z116" s="80"/>
      <c r="AA116" s="212" t="s">
        <v>73</v>
      </c>
      <c r="AB116" s="212"/>
      <c r="AC116" s="212"/>
      <c r="AD116" s="83"/>
      <c r="AE116" s="212" t="s">
        <v>74</v>
      </c>
      <c r="AF116" s="212"/>
      <c r="AG116" s="212"/>
    </row>
    <row r="117" spans="2:79" ht="21" customHeight="1" x14ac:dyDescent="0.15">
      <c r="B117" s="80"/>
      <c r="C117" s="80"/>
      <c r="D117" s="83" t="s">
        <v>1</v>
      </c>
      <c r="E117" s="213" t="e">
        <f>E68+E74+E81+E87+E93+E99+E105+E111</f>
        <v>#VALUE!</v>
      </c>
      <c r="F117" s="213"/>
      <c r="G117" s="213"/>
      <c r="H117" s="213" t="e">
        <f t="shared" ref="H117:N119" si="26">H68+H74+H81+H87+H93+H99+H105+H111</f>
        <v>#VALUE!</v>
      </c>
      <c r="I117" s="213"/>
      <c r="J117" s="213"/>
      <c r="K117" s="213" t="e">
        <f t="shared" ref="K117" si="27">K68+K74+K81+K87+K93+K99+K105+K111</f>
        <v>#VALUE!</v>
      </c>
      <c r="L117" s="213"/>
      <c r="M117" s="213"/>
      <c r="N117" s="213" t="e">
        <f t="shared" ref="N117" si="28">N68+N74+N81+N87+N93+N99+N105+N111</f>
        <v>#DIV/0!</v>
      </c>
      <c r="O117" s="213"/>
      <c r="P117" s="213"/>
      <c r="Q117" s="213" t="str">
        <f>IF($AC$37=0,"軽減なし",$AC$37&amp;"割軽減")</f>
        <v>7割軽減</v>
      </c>
      <c r="R117" s="213"/>
      <c r="S117" s="213"/>
      <c r="T117" s="213" t="e">
        <f>T68+T74+T81+T87+T93+T99+T105+T111</f>
        <v>#VALUE!</v>
      </c>
      <c r="U117" s="213"/>
      <c r="V117" s="213"/>
      <c r="W117" s="213" t="e">
        <f>W68+W74+W81+W87+W93+W99+W105+W111</f>
        <v>#DIV/0!</v>
      </c>
      <c r="X117" s="213"/>
      <c r="Y117" s="213"/>
      <c r="Z117" s="84" t="s">
        <v>0</v>
      </c>
      <c r="AA117" s="213" t="e">
        <f>AA68+AA74+AA81+AA87+AA93+AA99+AA105+AA111</f>
        <v>#VALUE!</v>
      </c>
      <c r="AB117" s="213"/>
      <c r="AC117" s="213"/>
      <c r="AD117" s="84" t="s">
        <v>8</v>
      </c>
      <c r="AE117" s="153" t="e">
        <f>IF(AA117&gt;Q3/12*MAX(E38:F45),ROUNDDOWN(Q3/12*MAX(E38:F45),0),ROUNDDOWN(AA117,-2))</f>
        <v>#VALUE!</v>
      </c>
      <c r="AF117" s="153"/>
      <c r="AG117" s="153"/>
      <c r="AT117" s="112" t="s">
        <v>66</v>
      </c>
      <c r="AU117" s="112"/>
      <c r="AV117" s="112"/>
      <c r="AW117" s="112"/>
      <c r="AX117" s="143">
        <f>MAX(IF(BM108=1,BJ108,IF(BY108=1,BV108-150000,0)),0)</f>
        <v>0</v>
      </c>
      <c r="AY117" s="143"/>
      <c r="AZ117" s="143"/>
    </row>
    <row r="118" spans="2:79" ht="21" customHeight="1" x14ac:dyDescent="0.15">
      <c r="B118" s="80"/>
      <c r="C118" s="80"/>
      <c r="D118" s="83" t="s">
        <v>2</v>
      </c>
      <c r="E118" s="213" t="e">
        <f t="shared" ref="E118" si="29">E69+E75+E82+E88+E94+E100+E106+E112</f>
        <v>#VALUE!</v>
      </c>
      <c r="F118" s="213"/>
      <c r="G118" s="213"/>
      <c r="H118" s="213" t="e">
        <f t="shared" si="26"/>
        <v>#VALUE!</v>
      </c>
      <c r="I118" s="213"/>
      <c r="J118" s="213"/>
      <c r="K118" s="213" t="e">
        <f t="shared" si="26"/>
        <v>#VALUE!</v>
      </c>
      <c r="L118" s="213"/>
      <c r="M118" s="213"/>
      <c r="N118" s="213" t="e">
        <f t="shared" si="26"/>
        <v>#DIV/0!</v>
      </c>
      <c r="O118" s="213"/>
      <c r="P118" s="213"/>
      <c r="Q118" s="213" t="str">
        <f>IF($AC$37=0,"軽減なし",$AC$37&amp;"割軽減")</f>
        <v>7割軽減</v>
      </c>
      <c r="R118" s="213"/>
      <c r="S118" s="213"/>
      <c r="T118" s="213" t="e">
        <f t="shared" ref="T118:T119" si="30">T69+T75+T82+T88+T94+T100+T106+T112</f>
        <v>#VALUE!</v>
      </c>
      <c r="U118" s="213"/>
      <c r="V118" s="213"/>
      <c r="W118" s="213" t="e">
        <f t="shared" ref="W118:W119" si="31">W69+W75+W82+W88+W94+W100+W106+W112</f>
        <v>#DIV/0!</v>
      </c>
      <c r="X118" s="213"/>
      <c r="Y118" s="213"/>
      <c r="Z118" s="84" t="s">
        <v>0</v>
      </c>
      <c r="AA118" s="213" t="e">
        <f t="shared" ref="AA118:AA119" si="32">AA69+AA75+AA82+AA88+AA94+AA100+AA106+AA112</f>
        <v>#VALUE!</v>
      </c>
      <c r="AB118" s="213"/>
      <c r="AC118" s="213"/>
      <c r="AD118" s="84" t="s">
        <v>8</v>
      </c>
      <c r="AE118" s="153" t="e">
        <f>IF(AA118&gt;Q4/12*MAX(E38:F45),ROUNDDOWN(Q4/12*MAX(E38:F45),0),ROUNDDOWN(AA118,-2))</f>
        <v>#VALUE!</v>
      </c>
      <c r="AF118" s="153"/>
      <c r="AG118" s="153"/>
    </row>
    <row r="119" spans="2:79" ht="21" customHeight="1" x14ac:dyDescent="0.15">
      <c r="B119" s="80"/>
      <c r="C119" s="80"/>
      <c r="D119" s="83" t="s">
        <v>3</v>
      </c>
      <c r="E119" s="213" t="e">
        <f>E70+E76+E83+E89+E95+E101+E107+E113</f>
        <v>#VALUE!</v>
      </c>
      <c r="F119" s="213"/>
      <c r="G119" s="213"/>
      <c r="H119" s="213" t="e">
        <f t="shared" si="26"/>
        <v>#VALUE!</v>
      </c>
      <c r="I119" s="213"/>
      <c r="J119" s="213"/>
      <c r="K119" s="213" t="e">
        <f t="shared" si="26"/>
        <v>#VALUE!</v>
      </c>
      <c r="L119" s="213"/>
      <c r="M119" s="213"/>
      <c r="N119" s="213" t="e">
        <f t="shared" si="26"/>
        <v>#VALUE!</v>
      </c>
      <c r="O119" s="213"/>
      <c r="P119" s="213"/>
      <c r="Q119" s="213" t="str">
        <f>IF($AC$37=0,"軽減なし",$AC$37&amp;"割軽減")</f>
        <v>7割軽減</v>
      </c>
      <c r="R119" s="213"/>
      <c r="S119" s="213"/>
      <c r="T119" s="213" t="e">
        <f t="shared" si="30"/>
        <v>#VALUE!</v>
      </c>
      <c r="U119" s="213"/>
      <c r="V119" s="213"/>
      <c r="W119" s="213" t="e">
        <f t="shared" si="31"/>
        <v>#VALUE!</v>
      </c>
      <c r="X119" s="213"/>
      <c r="Y119" s="213"/>
      <c r="Z119" s="84" t="s">
        <v>0</v>
      </c>
      <c r="AA119" s="213" t="e">
        <f t="shared" si="32"/>
        <v>#VALUE!</v>
      </c>
      <c r="AB119" s="213"/>
      <c r="AC119" s="213"/>
      <c r="AD119" s="84" t="s">
        <v>8</v>
      </c>
      <c r="AE119" s="153" t="e">
        <f>IF(AA119&gt;Q5/12*MAX(G38:H45),ROUNDDOWN(Q5/12*MAX(G38:H45),0),ROUNDDOWN(AA119,-2))</f>
        <v>#VALUE!</v>
      </c>
      <c r="AF119" s="153"/>
      <c r="AG119" s="153"/>
      <c r="AS119" s="93" t="s">
        <v>36</v>
      </c>
      <c r="AT119" s="94"/>
      <c r="AU119" s="94"/>
      <c r="AV119" s="94"/>
      <c r="AW119" s="94"/>
      <c r="AX119" s="94"/>
      <c r="AY119" s="94"/>
      <c r="AZ119" s="94"/>
      <c r="BA119" s="94"/>
      <c r="BB119" s="94"/>
      <c r="BC119" s="95"/>
      <c r="BE119" s="51"/>
      <c r="BF119" s="93" t="s">
        <v>47</v>
      </c>
      <c r="BG119" s="94"/>
      <c r="BH119" s="94"/>
      <c r="BI119" s="94"/>
      <c r="BJ119" s="94"/>
      <c r="BK119" s="94"/>
      <c r="BL119" s="94"/>
      <c r="BM119" s="94"/>
      <c r="BN119" s="94"/>
      <c r="BO119" s="95"/>
      <c r="BP119" s="69"/>
      <c r="BQ119" s="51"/>
      <c r="BR119" s="93" t="s">
        <v>46</v>
      </c>
      <c r="BS119" s="94"/>
      <c r="BT119" s="94"/>
      <c r="BU119" s="94"/>
      <c r="BV119" s="94"/>
      <c r="BW119" s="94"/>
      <c r="BX119" s="94"/>
      <c r="BY119" s="94"/>
      <c r="BZ119" s="94"/>
      <c r="CA119" s="95"/>
    </row>
    <row r="120" spans="2:79" x14ac:dyDescent="0.15">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217" t="e">
        <f>SUM(AE117:AG119)</f>
        <v>#VALUE!</v>
      </c>
      <c r="AF120" s="217"/>
      <c r="AG120" s="217"/>
      <c r="AS120" s="91"/>
      <c r="AT120" s="89" t="s">
        <v>38</v>
      </c>
      <c r="AU120" s="89"/>
      <c r="AV120" s="89"/>
      <c r="AW120" s="89"/>
      <c r="AX120" s="89"/>
      <c r="AY120" s="89"/>
      <c r="AZ120" s="89"/>
      <c r="BA120" s="89" t="s">
        <v>39</v>
      </c>
      <c r="BB120" s="89"/>
      <c r="BC120" s="89"/>
      <c r="BE120" s="91"/>
      <c r="BF120" s="89" t="s">
        <v>38</v>
      </c>
      <c r="BG120" s="89"/>
      <c r="BH120" s="89"/>
      <c r="BI120" s="89"/>
      <c r="BJ120" s="89"/>
      <c r="BK120" s="89"/>
      <c r="BL120" s="89"/>
      <c r="BM120" s="89" t="s">
        <v>39</v>
      </c>
      <c r="BN120" s="89"/>
      <c r="BO120" s="89"/>
      <c r="BP120" s="48"/>
      <c r="BQ120" s="91"/>
      <c r="BR120" s="89" t="s">
        <v>38</v>
      </c>
      <c r="BS120" s="89"/>
      <c r="BT120" s="89"/>
      <c r="BU120" s="89"/>
      <c r="BV120" s="89"/>
      <c r="BW120" s="89"/>
      <c r="BX120" s="89"/>
      <c r="BY120" s="89" t="s">
        <v>39</v>
      </c>
      <c r="BZ120" s="89"/>
      <c r="CA120" s="89"/>
    </row>
    <row r="121" spans="2:79" x14ac:dyDescent="0.15">
      <c r="AS121" s="92"/>
      <c r="AT121" s="90"/>
      <c r="AU121" s="90"/>
      <c r="AV121" s="90"/>
      <c r="AW121" s="90"/>
      <c r="AX121" s="90"/>
      <c r="AY121" s="90"/>
      <c r="AZ121" s="90"/>
      <c r="BA121" s="90"/>
      <c r="BB121" s="90"/>
      <c r="BC121" s="90"/>
      <c r="BE121" s="92"/>
      <c r="BF121" s="90"/>
      <c r="BG121" s="90"/>
      <c r="BH121" s="90"/>
      <c r="BI121" s="90"/>
      <c r="BJ121" s="90"/>
      <c r="BK121" s="90"/>
      <c r="BL121" s="90"/>
      <c r="BM121" s="90"/>
      <c r="BN121" s="90"/>
      <c r="BO121" s="90"/>
      <c r="BP121" s="77"/>
      <c r="BQ121" s="92"/>
      <c r="BR121" s="90"/>
      <c r="BS121" s="90"/>
      <c r="BT121" s="90"/>
      <c r="BU121" s="90"/>
      <c r="BV121" s="90"/>
      <c r="BW121" s="90"/>
      <c r="BX121" s="90"/>
      <c r="BY121" s="90"/>
      <c r="BZ121" s="90"/>
      <c r="CA121" s="90"/>
    </row>
    <row r="122" spans="2:79" x14ac:dyDescent="0.15">
      <c r="AS122" s="41">
        <f>IF(AND($AX$134&gt;=AT122,$AX$134&lt;=AX122),1,0)</f>
        <v>1</v>
      </c>
      <c r="AT122" s="87">
        <v>0</v>
      </c>
      <c r="AU122" s="87"/>
      <c r="AV122" s="87"/>
      <c r="AW122" s="79" t="s">
        <v>37</v>
      </c>
      <c r="AX122" s="87">
        <v>550999</v>
      </c>
      <c r="AY122" s="87"/>
      <c r="AZ122" s="87"/>
      <c r="BA122" s="88">
        <f>IF(AS122=1,0,0)</f>
        <v>0</v>
      </c>
      <c r="BB122" s="88"/>
      <c r="BC122" s="88"/>
      <c r="BE122" s="41">
        <f>IF(AND($BJ$134&gt;=BF122,$BJ$134&lt;=BJ122,$BL$138&lt;=10000000),1,(IF(AND($BJ$134&gt;=BF122,$BJ$134&lt;=BJ122,$BL$138&gt;10000000,$BL$138&lt;=20000000),2,(IF(AND($BJ$134&gt;=BF122,$BJ$134&lt;=BJ122,$BL$138&gt;20000000),3,0)))))</f>
        <v>1</v>
      </c>
      <c r="BF122" s="87">
        <v>0</v>
      </c>
      <c r="BG122" s="87"/>
      <c r="BH122" s="87"/>
      <c r="BI122" s="79" t="s">
        <v>37</v>
      </c>
      <c r="BJ122" s="87">
        <v>1299999</v>
      </c>
      <c r="BK122" s="87"/>
      <c r="BL122" s="87"/>
      <c r="BM122" s="88">
        <f>MAX(IF(BE122=1,BJ134-600000,IF(BE122=2,BJ134-500000,IF(BE122=3,BJ134-400000,0))),)</f>
        <v>0</v>
      </c>
      <c r="BN122" s="88"/>
      <c r="BO122" s="88"/>
      <c r="BP122" s="49"/>
      <c r="BQ122" s="41">
        <f>IF(AND($BV$134&gt;=BR122,$BV$134&lt;=BV122,$BX$138&lt;=10000000),1,(IF(AND($BV$134&gt;=BR122,$BV$134&lt;=BV122,$BX$138&gt;10000000,$BX$138&lt;=20000000),2,(IF(AND($BV$134&gt;=BR122,$BV$134&lt;=BV122,$BX$138&gt;20000000),3,0)))))</f>
        <v>1</v>
      </c>
      <c r="BR122" s="87">
        <v>0</v>
      </c>
      <c r="BS122" s="87"/>
      <c r="BT122" s="87"/>
      <c r="BU122" s="79" t="s">
        <v>37</v>
      </c>
      <c r="BV122" s="87">
        <v>3299999</v>
      </c>
      <c r="BW122" s="87"/>
      <c r="BX122" s="87"/>
      <c r="BY122" s="88">
        <f>MAX(IF(BQ122=1,BV134-1100000,IF(BQ122=2,BV134-1000000,IF(BQ122=3,BV134-900000,0))),)</f>
        <v>0</v>
      </c>
      <c r="BZ122" s="88"/>
      <c r="CA122" s="88"/>
    </row>
    <row r="123" spans="2:79" x14ac:dyDescent="0.15">
      <c r="AS123" s="41">
        <f t="shared" ref="AS123:AS130" si="33">IF(AND($AX$134&gt;=AT123,$AX$134&lt;=AX123),1,0)</f>
        <v>0</v>
      </c>
      <c r="AT123" s="87">
        <v>551000</v>
      </c>
      <c r="AU123" s="87"/>
      <c r="AV123" s="87"/>
      <c r="AW123" s="79" t="s">
        <v>37</v>
      </c>
      <c r="AX123" s="87">
        <v>1618999</v>
      </c>
      <c r="AY123" s="87"/>
      <c r="AZ123" s="87"/>
      <c r="BA123" s="88">
        <f>IF(AS123=1,AX134-550000,0)</f>
        <v>0</v>
      </c>
      <c r="BB123" s="88"/>
      <c r="BC123" s="88"/>
      <c r="BE123" s="41">
        <f t="shared" ref="BE123:BE125" si="34">IF(AND($BJ$134&gt;=BF123,$BJ$134&lt;=BJ123,$BL$138&lt;=10000000),1,(IF(AND($BJ$134&gt;=BF123,$BJ$134&lt;=BJ123,$BL$138&gt;10000000,$BL$138&lt;=20000000),2,(IF(AND($BJ$134&gt;=BF123,$BJ$134&lt;=BJ123,$BL$138&gt;20000000),3,0)))))</f>
        <v>0</v>
      </c>
      <c r="BF123" s="87">
        <v>1300000</v>
      </c>
      <c r="BG123" s="87"/>
      <c r="BH123" s="87"/>
      <c r="BI123" s="79" t="s">
        <v>37</v>
      </c>
      <c r="BJ123" s="87">
        <v>4099999</v>
      </c>
      <c r="BK123" s="87"/>
      <c r="BL123" s="87"/>
      <c r="BM123" s="88">
        <f>IF(BE123=1,BJ134*0.75-275000,IF(BE123=2,BJ134*0.75-175000,IF(BE123=3,BJ134*0.75-75000,0)))</f>
        <v>0</v>
      </c>
      <c r="BN123" s="88"/>
      <c r="BO123" s="88"/>
      <c r="BP123" s="49"/>
      <c r="BQ123" s="41">
        <f t="shared" ref="BQ123:BQ125" si="35">IF(AND($BV$134&gt;=BR123,$BV$134&lt;=BV123,$BX$138&lt;=10000000),1,(IF(AND($BV$134&gt;=BR123,$BV$134&lt;=BV123,$BX$138&gt;10000000,$BX$138&lt;=20000000),2,(IF(AND($BV$134&gt;=BR123,$BV$134&lt;=BV123,$BX$138&gt;20000000),3,0)))))</f>
        <v>0</v>
      </c>
      <c r="BR123" s="87">
        <v>3300000</v>
      </c>
      <c r="BS123" s="87"/>
      <c r="BT123" s="87"/>
      <c r="BU123" s="79" t="s">
        <v>37</v>
      </c>
      <c r="BV123" s="87">
        <v>4099999</v>
      </c>
      <c r="BW123" s="87"/>
      <c r="BX123" s="87"/>
      <c r="BY123" s="88">
        <f>IF(BQ123=1,BV134*0.75-275000,IF(BQ123=2,BV134*0.75-175000,IF(BQ123=3,BV134*0.75-75000,0)))</f>
        <v>0</v>
      </c>
      <c r="BZ123" s="88"/>
      <c r="CA123" s="88"/>
    </row>
    <row r="124" spans="2:79" x14ac:dyDescent="0.15">
      <c r="AS124" s="41">
        <f t="shared" si="33"/>
        <v>0</v>
      </c>
      <c r="AT124" s="87">
        <v>1619000</v>
      </c>
      <c r="AU124" s="87"/>
      <c r="AV124" s="87"/>
      <c r="AW124" s="79" t="s">
        <v>37</v>
      </c>
      <c r="AX124" s="87">
        <v>1619999</v>
      </c>
      <c r="AY124" s="87"/>
      <c r="AZ124" s="87"/>
      <c r="BA124" s="88">
        <f>IF(AS124=1,1069000,0)</f>
        <v>0</v>
      </c>
      <c r="BB124" s="88"/>
      <c r="BC124" s="88"/>
      <c r="BE124" s="41">
        <f t="shared" si="34"/>
        <v>0</v>
      </c>
      <c r="BF124" s="87">
        <v>4100000</v>
      </c>
      <c r="BG124" s="87"/>
      <c r="BH124" s="87"/>
      <c r="BI124" s="79" t="s">
        <v>37</v>
      </c>
      <c r="BJ124" s="87">
        <v>7699999</v>
      </c>
      <c r="BK124" s="87"/>
      <c r="BL124" s="87"/>
      <c r="BM124" s="88">
        <f>IF(BE124=1,BJ134*0.85-685000,IF(BE124=2,BJ134*0.85-585000,IF(BE124=3,BJ134*0.85-485000,0)))</f>
        <v>0</v>
      </c>
      <c r="BN124" s="88"/>
      <c r="BO124" s="88"/>
      <c r="BP124" s="49"/>
      <c r="BQ124" s="41">
        <f t="shared" si="35"/>
        <v>0</v>
      </c>
      <c r="BR124" s="87">
        <v>4100000</v>
      </c>
      <c r="BS124" s="87"/>
      <c r="BT124" s="87"/>
      <c r="BU124" s="79" t="s">
        <v>37</v>
      </c>
      <c r="BV124" s="87">
        <v>7699999</v>
      </c>
      <c r="BW124" s="87"/>
      <c r="BX124" s="87"/>
      <c r="BY124" s="88">
        <f>IF(BQ124=1,BV134*0.85-685000,IF(BQ124=2,BV134*0.85-585000,IF(BQ124=3,BV134*0.85-485000,0)))</f>
        <v>0</v>
      </c>
      <c r="BZ124" s="88"/>
      <c r="CA124" s="88"/>
    </row>
    <row r="125" spans="2:79" x14ac:dyDescent="0.15">
      <c r="AS125" s="41">
        <f t="shared" si="33"/>
        <v>0</v>
      </c>
      <c r="AT125" s="87">
        <v>1620000</v>
      </c>
      <c r="AU125" s="87"/>
      <c r="AV125" s="87"/>
      <c r="AW125" s="79" t="s">
        <v>37</v>
      </c>
      <c r="AX125" s="87">
        <v>1621999</v>
      </c>
      <c r="AY125" s="87"/>
      <c r="AZ125" s="87"/>
      <c r="BA125" s="88">
        <f>IF(AS125=1,1070000,0)</f>
        <v>0</v>
      </c>
      <c r="BB125" s="88"/>
      <c r="BC125" s="88"/>
      <c r="BE125" s="41">
        <f t="shared" si="34"/>
        <v>0</v>
      </c>
      <c r="BF125" s="87">
        <v>7700000</v>
      </c>
      <c r="BG125" s="87"/>
      <c r="BH125" s="87"/>
      <c r="BI125" s="79" t="s">
        <v>37</v>
      </c>
      <c r="BJ125" s="87">
        <v>9999999</v>
      </c>
      <c r="BK125" s="87"/>
      <c r="BL125" s="87"/>
      <c r="BM125" s="88">
        <f>IF(BE125=1,BJ134*0.95-1455000,IF(BE125=2,BJ134*0.95-1355000,IF(BE125=3,BJ134*0.95-1255000,0)))</f>
        <v>0</v>
      </c>
      <c r="BN125" s="88"/>
      <c r="BO125" s="88"/>
      <c r="BP125" s="49"/>
      <c r="BQ125" s="41">
        <f t="shared" si="35"/>
        <v>0</v>
      </c>
      <c r="BR125" s="87">
        <v>7700000</v>
      </c>
      <c r="BS125" s="87"/>
      <c r="BT125" s="87"/>
      <c r="BU125" s="79" t="s">
        <v>37</v>
      </c>
      <c r="BV125" s="87">
        <v>9999999</v>
      </c>
      <c r="BW125" s="87"/>
      <c r="BX125" s="87"/>
      <c r="BY125" s="88">
        <f>IF(BQ125=1,BV134*0.95-1455000,IF(BQ125=2,BV134*0.95-1355000,IF(BQ125=3,BV134*0.95-1255000,0)))</f>
        <v>0</v>
      </c>
      <c r="BZ125" s="88"/>
      <c r="CA125" s="88"/>
    </row>
    <row r="126" spans="2:79" x14ac:dyDescent="0.15">
      <c r="AS126" s="41">
        <f t="shared" si="33"/>
        <v>0</v>
      </c>
      <c r="AT126" s="87">
        <v>1622000</v>
      </c>
      <c r="AU126" s="87"/>
      <c r="AV126" s="87"/>
      <c r="AW126" s="79" t="s">
        <v>37</v>
      </c>
      <c r="AX126" s="87">
        <v>1623999</v>
      </c>
      <c r="AY126" s="87"/>
      <c r="AZ126" s="87"/>
      <c r="BA126" s="88">
        <f>IF(AS126=1,1072000,0)</f>
        <v>0</v>
      </c>
      <c r="BB126" s="88"/>
      <c r="BC126" s="88"/>
      <c r="BE126" s="41">
        <f>IF(AND($BJ$134&gt;=BF126,$BL$138&lt;=10000000),1,(IF(AND($BJ$134&gt;=BF126,$BL$138&gt;10000000,$BL$138&lt;=20000000),2,(IF(AND($BJ$134&gt;=BF126,$BL$138&gt;20000000),3,0)))))</f>
        <v>0</v>
      </c>
      <c r="BF126" s="87">
        <v>10000000</v>
      </c>
      <c r="BG126" s="87"/>
      <c r="BH126" s="87"/>
      <c r="BI126" s="79" t="s">
        <v>37</v>
      </c>
      <c r="BJ126" s="87"/>
      <c r="BK126" s="87"/>
      <c r="BL126" s="87"/>
      <c r="BM126" s="88">
        <f>IF(BE126=1,BJ134-1955000,IF(BE126=2,BJ134-1855000,IF(BE126=3,BJ134-1755000,0)))</f>
        <v>0</v>
      </c>
      <c r="BN126" s="88"/>
      <c r="BO126" s="88"/>
      <c r="BP126" s="49"/>
      <c r="BQ126" s="41">
        <f>IF(AND($BV$134&gt;=BR126,$BX$138&lt;=10000000),1,(IF(AND($BV$134&gt;=BR126,$BX$138&gt;10000000,$BX$138&lt;=20000000),2,(IF(AND($BV$134&gt;=BR126,$BX$138&gt;20000000),3,0)))))</f>
        <v>0</v>
      </c>
      <c r="BR126" s="87">
        <v>10000000</v>
      </c>
      <c r="BS126" s="87"/>
      <c r="BT126" s="87"/>
      <c r="BU126" s="79" t="s">
        <v>37</v>
      </c>
      <c r="BV126" s="87"/>
      <c r="BW126" s="87"/>
      <c r="BX126" s="87"/>
      <c r="BY126" s="88">
        <f>IF(BQ126=1,BV134-1955000,IF(BQ126=2,BV134-1855000,IF(BQ126=3,BV134-1755000,0)))</f>
        <v>0</v>
      </c>
      <c r="BZ126" s="88"/>
      <c r="CA126" s="88"/>
    </row>
    <row r="127" spans="2:79" x14ac:dyDescent="0.15">
      <c r="AS127" s="41">
        <f t="shared" si="33"/>
        <v>0</v>
      </c>
      <c r="AT127" s="87">
        <v>1624000</v>
      </c>
      <c r="AU127" s="87"/>
      <c r="AV127" s="87"/>
      <c r="AW127" s="79" t="s">
        <v>37</v>
      </c>
      <c r="AX127" s="87">
        <v>1627999</v>
      </c>
      <c r="AY127" s="87"/>
      <c r="AZ127" s="87"/>
      <c r="BA127" s="88">
        <f>IF(AS127=1,1074000,0)</f>
        <v>0</v>
      </c>
      <c r="BB127" s="88"/>
      <c r="BC127" s="88"/>
      <c r="BE127" s="41"/>
      <c r="BF127" s="87"/>
      <c r="BG127" s="87"/>
      <c r="BH127" s="87"/>
      <c r="BI127" s="79" t="s">
        <v>37</v>
      </c>
      <c r="BJ127" s="87"/>
      <c r="BK127" s="87"/>
      <c r="BL127" s="87"/>
      <c r="BM127" s="88"/>
      <c r="BN127" s="88"/>
      <c r="BO127" s="88"/>
      <c r="BP127" s="49"/>
      <c r="BQ127" s="41"/>
      <c r="BR127" s="87"/>
      <c r="BS127" s="87"/>
      <c r="BT127" s="87"/>
      <c r="BU127" s="79" t="s">
        <v>37</v>
      </c>
      <c r="BV127" s="87"/>
      <c r="BW127" s="87"/>
      <c r="BX127" s="87"/>
      <c r="BY127" s="88"/>
      <c r="BZ127" s="88"/>
      <c r="CA127" s="88"/>
    </row>
    <row r="128" spans="2:79" x14ac:dyDescent="0.15">
      <c r="AS128" s="41">
        <f t="shared" si="33"/>
        <v>0</v>
      </c>
      <c r="AT128" s="87">
        <v>1628000</v>
      </c>
      <c r="AU128" s="87"/>
      <c r="AV128" s="87"/>
      <c r="AW128" s="79" t="s">
        <v>37</v>
      </c>
      <c r="AX128" s="87">
        <v>1799999</v>
      </c>
      <c r="AY128" s="87"/>
      <c r="AZ128" s="87"/>
      <c r="BA128" s="88">
        <f>IF(AS128=1,ROUNDDOWN(AX134/4,-3)*2.4+100000,0)</f>
        <v>0</v>
      </c>
      <c r="BB128" s="88"/>
      <c r="BC128" s="88"/>
      <c r="BE128" s="41"/>
      <c r="BF128" s="87"/>
      <c r="BG128" s="87"/>
      <c r="BH128" s="87"/>
      <c r="BI128" s="79" t="s">
        <v>37</v>
      </c>
      <c r="BJ128" s="87"/>
      <c r="BK128" s="87"/>
      <c r="BL128" s="87"/>
      <c r="BM128" s="88"/>
      <c r="BN128" s="88"/>
      <c r="BO128" s="88"/>
      <c r="BP128" s="49"/>
      <c r="BQ128" s="41"/>
      <c r="BR128" s="87"/>
      <c r="BS128" s="87"/>
      <c r="BT128" s="87"/>
      <c r="BU128" s="79" t="s">
        <v>37</v>
      </c>
      <c r="BV128" s="87"/>
      <c r="BW128" s="87"/>
      <c r="BX128" s="87"/>
      <c r="BY128" s="88"/>
      <c r="BZ128" s="88"/>
      <c r="CA128" s="88"/>
    </row>
    <row r="129" spans="45:79" x14ac:dyDescent="0.15">
      <c r="AS129" s="41">
        <f t="shared" si="33"/>
        <v>0</v>
      </c>
      <c r="AT129" s="87">
        <v>1800000</v>
      </c>
      <c r="AU129" s="87"/>
      <c r="AV129" s="87"/>
      <c r="AW129" s="79" t="s">
        <v>37</v>
      </c>
      <c r="AX129" s="87">
        <v>3599999</v>
      </c>
      <c r="AY129" s="87"/>
      <c r="AZ129" s="87"/>
      <c r="BA129" s="88">
        <f>IF(AS129=1,ROUNDDOWN(AX134/4,-3)*2.8-80000,0)</f>
        <v>0</v>
      </c>
      <c r="BB129" s="88"/>
      <c r="BC129" s="88"/>
      <c r="BE129" s="41"/>
      <c r="BF129" s="87"/>
      <c r="BG129" s="87"/>
      <c r="BH129" s="87"/>
      <c r="BI129" s="79" t="s">
        <v>37</v>
      </c>
      <c r="BJ129" s="87"/>
      <c r="BK129" s="87"/>
      <c r="BL129" s="87"/>
      <c r="BM129" s="88"/>
      <c r="BN129" s="88"/>
      <c r="BO129" s="88"/>
      <c r="BP129" s="49"/>
      <c r="BQ129" s="41"/>
      <c r="BR129" s="87"/>
      <c r="BS129" s="87"/>
      <c r="BT129" s="87"/>
      <c r="BU129" s="79" t="s">
        <v>37</v>
      </c>
      <c r="BV129" s="87"/>
      <c r="BW129" s="87"/>
      <c r="BX129" s="87"/>
      <c r="BY129" s="88"/>
      <c r="BZ129" s="88"/>
      <c r="CA129" s="88"/>
    </row>
    <row r="130" spans="45:79" x14ac:dyDescent="0.15">
      <c r="AS130" s="41">
        <f t="shared" si="33"/>
        <v>0</v>
      </c>
      <c r="AT130" s="87">
        <v>3600000</v>
      </c>
      <c r="AU130" s="87"/>
      <c r="AV130" s="87"/>
      <c r="AW130" s="79" t="s">
        <v>37</v>
      </c>
      <c r="AX130" s="87">
        <v>6599999</v>
      </c>
      <c r="AY130" s="87"/>
      <c r="AZ130" s="87"/>
      <c r="BA130" s="88">
        <f>IF(AS130=1,ROUNDDOWN(AX134/4,-3)*3.2-440000,0)</f>
        <v>0</v>
      </c>
      <c r="BB130" s="88"/>
      <c r="BC130" s="88"/>
      <c r="BE130" s="41"/>
      <c r="BF130" s="87"/>
      <c r="BG130" s="87"/>
      <c r="BH130" s="87"/>
      <c r="BI130" s="79" t="s">
        <v>37</v>
      </c>
      <c r="BJ130" s="87"/>
      <c r="BK130" s="87"/>
      <c r="BL130" s="87"/>
      <c r="BM130" s="88"/>
      <c r="BN130" s="88"/>
      <c r="BO130" s="88"/>
      <c r="BP130" s="49"/>
      <c r="BQ130" s="41"/>
      <c r="BR130" s="87"/>
      <c r="BS130" s="87"/>
      <c r="BT130" s="87"/>
      <c r="BU130" s="79" t="s">
        <v>37</v>
      </c>
      <c r="BV130" s="87"/>
      <c r="BW130" s="87"/>
      <c r="BX130" s="87"/>
      <c r="BY130" s="88"/>
      <c r="BZ130" s="88"/>
      <c r="CA130" s="88"/>
    </row>
    <row r="131" spans="45:79" x14ac:dyDescent="0.15">
      <c r="AS131" s="41">
        <f>IF(AND($AX$134&gt;=AT131,$AX$134&lt;=AX131),1,0)</f>
        <v>0</v>
      </c>
      <c r="AT131" s="87">
        <v>6600000</v>
      </c>
      <c r="AU131" s="87"/>
      <c r="AV131" s="87"/>
      <c r="AW131" s="79" t="s">
        <v>37</v>
      </c>
      <c r="AX131" s="87">
        <v>8499999</v>
      </c>
      <c r="AY131" s="87"/>
      <c r="AZ131" s="87"/>
      <c r="BA131" s="88">
        <f>IF(AS131=1,AX134*0.9-1100000,0)</f>
        <v>0</v>
      </c>
      <c r="BB131" s="88"/>
      <c r="BC131" s="88"/>
      <c r="BE131" s="41"/>
      <c r="BF131" s="87"/>
      <c r="BG131" s="87"/>
      <c r="BH131" s="87"/>
      <c r="BI131" s="79" t="s">
        <v>37</v>
      </c>
      <c r="BJ131" s="87"/>
      <c r="BK131" s="87"/>
      <c r="BL131" s="87"/>
      <c r="BM131" s="88"/>
      <c r="BN131" s="88"/>
      <c r="BO131" s="88"/>
      <c r="BP131" s="49"/>
      <c r="BQ131" s="41"/>
      <c r="BR131" s="87"/>
      <c r="BS131" s="87"/>
      <c r="BT131" s="87"/>
      <c r="BU131" s="79" t="s">
        <v>37</v>
      </c>
      <c r="BV131" s="87"/>
      <c r="BW131" s="87"/>
      <c r="BX131" s="87"/>
      <c r="BY131" s="88"/>
      <c r="BZ131" s="88"/>
      <c r="CA131" s="88"/>
    </row>
    <row r="132" spans="45:79" x14ac:dyDescent="0.15">
      <c r="AS132" s="41">
        <f>IF($AX$134&gt;=AT132,1,0)</f>
        <v>0</v>
      </c>
      <c r="AT132" s="87">
        <v>8500000</v>
      </c>
      <c r="AU132" s="87"/>
      <c r="AV132" s="87"/>
      <c r="AW132" s="79" t="s">
        <v>37</v>
      </c>
      <c r="AX132" s="87"/>
      <c r="AY132" s="87"/>
      <c r="AZ132" s="87"/>
      <c r="BA132" s="88">
        <f>IF(AS132=1,AX134-1950000,0)</f>
        <v>0</v>
      </c>
      <c r="BB132" s="88"/>
      <c r="BC132" s="88"/>
      <c r="BE132" s="41"/>
      <c r="BF132" s="87"/>
      <c r="BG132" s="87"/>
      <c r="BH132" s="87"/>
      <c r="BI132" s="79" t="s">
        <v>37</v>
      </c>
      <c r="BJ132" s="87"/>
      <c r="BK132" s="87"/>
      <c r="BL132" s="87"/>
      <c r="BM132" s="88"/>
      <c r="BN132" s="88"/>
      <c r="BO132" s="88"/>
      <c r="BP132" s="49"/>
      <c r="BQ132" s="41"/>
      <c r="BR132" s="87"/>
      <c r="BS132" s="87"/>
      <c r="BT132" s="87"/>
      <c r="BU132" s="79" t="s">
        <v>37</v>
      </c>
      <c r="BV132" s="87"/>
      <c r="BW132" s="87"/>
      <c r="BX132" s="87"/>
      <c r="BY132" s="88"/>
      <c r="BZ132" s="88"/>
      <c r="CA132" s="88"/>
    </row>
    <row r="133" spans="45:79" x14ac:dyDescent="0.15">
      <c r="AS133" s="78"/>
      <c r="AT133" s="46"/>
      <c r="AU133" s="46"/>
      <c r="AV133" s="46"/>
      <c r="AW133" s="78"/>
      <c r="AX133" s="38"/>
      <c r="AY133" s="38"/>
      <c r="AZ133" s="38"/>
      <c r="BA133" s="43"/>
      <c r="BB133" s="43"/>
      <c r="BC133" s="43"/>
      <c r="BE133" s="78"/>
      <c r="BF133" s="46"/>
      <c r="BG133" s="46"/>
      <c r="BH133" s="46"/>
      <c r="BI133" s="78"/>
      <c r="BJ133" s="38"/>
      <c r="BK133" s="38"/>
      <c r="BL133" s="38"/>
      <c r="BM133" s="43"/>
      <c r="BN133" s="43"/>
      <c r="BO133" s="43"/>
      <c r="BP133" s="43"/>
      <c r="BQ133" s="78"/>
      <c r="BR133" s="46"/>
      <c r="BS133" s="46"/>
      <c r="BT133" s="46"/>
      <c r="BU133" s="78"/>
      <c r="BV133" s="38"/>
      <c r="BW133" s="38"/>
      <c r="BX133" s="38"/>
      <c r="BY133" s="43"/>
      <c r="BZ133" s="43"/>
      <c r="CA133" s="43"/>
    </row>
    <row r="134" spans="45:79" x14ac:dyDescent="0.15">
      <c r="AS134" s="78"/>
      <c r="AT134" s="104" t="s">
        <v>31</v>
      </c>
      <c r="AU134" s="104"/>
      <c r="AV134" s="104"/>
      <c r="AW134" s="104"/>
      <c r="AX134" s="105">
        <f>F25</f>
        <v>0</v>
      </c>
      <c r="AY134" s="106"/>
      <c r="AZ134" s="107"/>
      <c r="BA134" s="44"/>
      <c r="BB134" s="45"/>
      <c r="BC134" s="45"/>
      <c r="BE134" s="78"/>
      <c r="BF134" s="104" t="s">
        <v>43</v>
      </c>
      <c r="BG134" s="104"/>
      <c r="BH134" s="104"/>
      <c r="BI134" s="104"/>
      <c r="BJ134" s="108">
        <f>J25</f>
        <v>0</v>
      </c>
      <c r="BK134" s="108"/>
      <c r="BL134" s="108"/>
      <c r="BM134" s="44"/>
      <c r="BN134" s="45"/>
      <c r="BO134" s="45"/>
      <c r="BP134" s="45"/>
      <c r="BQ134" s="78"/>
      <c r="BR134" s="104" t="s">
        <v>43</v>
      </c>
      <c r="BS134" s="104"/>
      <c r="BT134" s="104"/>
      <c r="BU134" s="104"/>
      <c r="BV134" s="108">
        <f>BJ134</f>
        <v>0</v>
      </c>
      <c r="BW134" s="108"/>
      <c r="BX134" s="108"/>
      <c r="BY134" s="44"/>
      <c r="BZ134" s="45"/>
      <c r="CA134" s="45"/>
    </row>
    <row r="135" spans="45:79" x14ac:dyDescent="0.15">
      <c r="AT135" s="104" t="s">
        <v>42</v>
      </c>
      <c r="AU135" s="104"/>
      <c r="AV135" s="104"/>
      <c r="AW135" s="104"/>
      <c r="AX135" s="119">
        <f>SUM(BA122:BC132)</f>
        <v>0</v>
      </c>
      <c r="AY135" s="112"/>
      <c r="AZ135" s="112"/>
      <c r="BF135" s="104" t="s">
        <v>44</v>
      </c>
      <c r="BG135" s="104"/>
      <c r="BH135" s="104"/>
      <c r="BI135" s="104"/>
      <c r="BJ135" s="119">
        <f>SUM(BM122:BO132)</f>
        <v>0</v>
      </c>
      <c r="BK135" s="112"/>
      <c r="BL135" s="112"/>
      <c r="BM135" s="65">
        <f>IF(D25&lt;65,1,0)</f>
        <v>1</v>
      </c>
      <c r="BR135" s="104" t="s">
        <v>44</v>
      </c>
      <c r="BS135" s="104"/>
      <c r="BT135" s="104"/>
      <c r="BU135" s="104"/>
      <c r="BV135" s="119">
        <f>SUM(BY122:CA132)</f>
        <v>0</v>
      </c>
      <c r="BW135" s="112"/>
      <c r="BX135" s="112"/>
      <c r="BY135" s="65">
        <f>IF(D25&lt;65,0,1)</f>
        <v>0</v>
      </c>
    </row>
    <row r="136" spans="45:79" x14ac:dyDescent="0.15">
      <c r="BJ136" s="47"/>
      <c r="BK136" s="47"/>
      <c r="BL136" s="47"/>
      <c r="BV136" s="47"/>
      <c r="BW136" s="47"/>
      <c r="BX136" s="47"/>
    </row>
    <row r="137" spans="45:79" x14ac:dyDescent="0.15">
      <c r="BE137" s="112" t="s">
        <v>45</v>
      </c>
      <c r="BF137" s="112"/>
      <c r="BG137" s="112"/>
      <c r="BH137" s="112"/>
      <c r="BI137" s="112"/>
      <c r="BJ137" s="112"/>
      <c r="BK137" s="112"/>
      <c r="BL137" s="112"/>
      <c r="BM137" s="112"/>
      <c r="BN137" s="112"/>
      <c r="BO137" s="112"/>
      <c r="BP137" s="69"/>
      <c r="BQ137" s="112" t="s">
        <v>45</v>
      </c>
      <c r="BR137" s="112"/>
      <c r="BS137" s="112"/>
      <c r="BT137" s="112"/>
      <c r="BU137" s="112"/>
      <c r="BV137" s="112"/>
      <c r="BW137" s="112"/>
      <c r="BX137" s="112"/>
      <c r="BY137" s="112"/>
      <c r="BZ137" s="112"/>
      <c r="CA137" s="112"/>
    </row>
    <row r="138" spans="45:79" x14ac:dyDescent="0.15">
      <c r="BL138" s="118">
        <f>V25</f>
        <v>0</v>
      </c>
      <c r="BM138" s="118"/>
      <c r="BN138" s="118"/>
      <c r="BO138" s="118"/>
      <c r="BP138" s="50"/>
      <c r="BX138" s="118">
        <f>BL138</f>
        <v>0</v>
      </c>
      <c r="BY138" s="118"/>
      <c r="BZ138" s="118"/>
      <c r="CA138" s="118"/>
    </row>
    <row r="139" spans="45:79" x14ac:dyDescent="0.15">
      <c r="AT139" t="s">
        <v>78</v>
      </c>
    </row>
    <row r="140" spans="45:79" x14ac:dyDescent="0.15">
      <c r="AT140" s="112" t="s">
        <v>42</v>
      </c>
      <c r="AU140" s="112"/>
      <c r="AV140" s="112"/>
      <c r="AW140" s="112"/>
      <c r="AX140" s="119">
        <f>AX135</f>
        <v>0</v>
      </c>
      <c r="AY140" s="112"/>
      <c r="AZ140" s="112"/>
      <c r="BB140" t="s">
        <v>87</v>
      </c>
    </row>
    <row r="141" spans="45:79" x14ac:dyDescent="0.15">
      <c r="AT141" s="112" t="s">
        <v>48</v>
      </c>
      <c r="AU141" s="112"/>
      <c r="AV141" s="112"/>
      <c r="AW141" s="112"/>
      <c r="AX141" s="143">
        <f>IF(BM135=1,BJ135,IF(BY135=1,BV135,0))</f>
        <v>0</v>
      </c>
      <c r="AY141" s="143"/>
      <c r="AZ141" s="143"/>
      <c r="BB141" t="s">
        <v>86</v>
      </c>
    </row>
    <row r="142" spans="45:79" x14ac:dyDescent="0.15">
      <c r="AT142" s="112" t="s">
        <v>49</v>
      </c>
      <c r="AU142" s="112"/>
      <c r="AV142" s="112"/>
      <c r="AW142" s="112"/>
      <c r="AX142" s="119">
        <f>SUM(AX140:AZ141)+IF((AND(AX140&gt;0,AX141&gt;0,(AX140+AX141)&gt;100000)),-100000,0)</f>
        <v>0</v>
      </c>
      <c r="AY142" s="112"/>
      <c r="AZ142" s="112"/>
      <c r="BB142" t="s">
        <v>70</v>
      </c>
      <c r="BP142" s="70"/>
    </row>
    <row r="144" spans="45:79" x14ac:dyDescent="0.15">
      <c r="AT144" s="112" t="s">
        <v>66</v>
      </c>
      <c r="AU144" s="112"/>
      <c r="AV144" s="112"/>
      <c r="AW144" s="112"/>
      <c r="AX144" s="143">
        <f>MAX(IF(BM135=1,BJ135,IF(BY135=1,BV135-150000,0)),0)</f>
        <v>0</v>
      </c>
      <c r="AY144" s="143"/>
      <c r="AZ144" s="143"/>
    </row>
    <row r="146" spans="45:79" x14ac:dyDescent="0.15">
      <c r="AS146" s="93" t="s">
        <v>36</v>
      </c>
      <c r="AT146" s="94"/>
      <c r="AU146" s="94"/>
      <c r="AV146" s="94"/>
      <c r="AW146" s="94"/>
      <c r="AX146" s="94"/>
      <c r="AY146" s="94"/>
      <c r="AZ146" s="94"/>
      <c r="BA146" s="94"/>
      <c r="BB146" s="94"/>
      <c r="BC146" s="95"/>
      <c r="BE146" s="51"/>
      <c r="BF146" s="93" t="s">
        <v>47</v>
      </c>
      <c r="BG146" s="94"/>
      <c r="BH146" s="94"/>
      <c r="BI146" s="94"/>
      <c r="BJ146" s="94"/>
      <c r="BK146" s="94"/>
      <c r="BL146" s="94"/>
      <c r="BM146" s="94"/>
      <c r="BN146" s="94"/>
      <c r="BO146" s="95"/>
      <c r="BP146" s="69"/>
      <c r="BQ146" s="51"/>
      <c r="BR146" s="93" t="s">
        <v>46</v>
      </c>
      <c r="BS146" s="94"/>
      <c r="BT146" s="94"/>
      <c r="BU146" s="94"/>
      <c r="BV146" s="94"/>
      <c r="BW146" s="94"/>
      <c r="BX146" s="94"/>
      <c r="BY146" s="94"/>
      <c r="BZ146" s="94"/>
      <c r="CA146" s="95"/>
    </row>
    <row r="147" spans="45:79" x14ac:dyDescent="0.15">
      <c r="AS147" s="91"/>
      <c r="AT147" s="89" t="s">
        <v>38</v>
      </c>
      <c r="AU147" s="89"/>
      <c r="AV147" s="89"/>
      <c r="AW147" s="89"/>
      <c r="AX147" s="89"/>
      <c r="AY147" s="89"/>
      <c r="AZ147" s="89"/>
      <c r="BA147" s="89" t="s">
        <v>39</v>
      </c>
      <c r="BB147" s="89"/>
      <c r="BC147" s="89"/>
      <c r="BE147" s="91"/>
      <c r="BF147" s="89" t="s">
        <v>38</v>
      </c>
      <c r="BG147" s="89"/>
      <c r="BH147" s="89"/>
      <c r="BI147" s="89"/>
      <c r="BJ147" s="89"/>
      <c r="BK147" s="89"/>
      <c r="BL147" s="89"/>
      <c r="BM147" s="89" t="s">
        <v>39</v>
      </c>
      <c r="BN147" s="89"/>
      <c r="BO147" s="89"/>
      <c r="BP147" s="48"/>
      <c r="BQ147" s="91"/>
      <c r="BR147" s="89" t="s">
        <v>38</v>
      </c>
      <c r="BS147" s="89"/>
      <c r="BT147" s="89"/>
      <c r="BU147" s="89"/>
      <c r="BV147" s="89"/>
      <c r="BW147" s="89"/>
      <c r="BX147" s="89"/>
      <c r="BY147" s="89" t="s">
        <v>39</v>
      </c>
      <c r="BZ147" s="89"/>
      <c r="CA147" s="89"/>
    </row>
    <row r="148" spans="45:79" x14ac:dyDescent="0.15">
      <c r="AS148" s="92"/>
      <c r="AT148" s="90"/>
      <c r="AU148" s="90"/>
      <c r="AV148" s="90"/>
      <c r="AW148" s="90"/>
      <c r="AX148" s="90"/>
      <c r="AY148" s="90"/>
      <c r="AZ148" s="90"/>
      <c r="BA148" s="90"/>
      <c r="BB148" s="90"/>
      <c r="BC148" s="90"/>
      <c r="BE148" s="92"/>
      <c r="BF148" s="90"/>
      <c r="BG148" s="90"/>
      <c r="BH148" s="90"/>
      <c r="BI148" s="90"/>
      <c r="BJ148" s="90"/>
      <c r="BK148" s="90"/>
      <c r="BL148" s="90"/>
      <c r="BM148" s="90"/>
      <c r="BN148" s="90"/>
      <c r="BO148" s="90"/>
      <c r="BP148" s="77"/>
      <c r="BQ148" s="92"/>
      <c r="BR148" s="90"/>
      <c r="BS148" s="90"/>
      <c r="BT148" s="90"/>
      <c r="BU148" s="90"/>
      <c r="BV148" s="90"/>
      <c r="BW148" s="90"/>
      <c r="BX148" s="90"/>
      <c r="BY148" s="90"/>
      <c r="BZ148" s="90"/>
      <c r="CA148" s="90"/>
    </row>
    <row r="149" spans="45:79" x14ac:dyDescent="0.15">
      <c r="AS149" s="41">
        <f>IF(AND($AX$161&gt;=AT149,$AX$161&lt;=AX149),1,0)</f>
        <v>1</v>
      </c>
      <c r="AT149" s="87">
        <v>0</v>
      </c>
      <c r="AU149" s="87"/>
      <c r="AV149" s="87"/>
      <c r="AW149" s="79" t="s">
        <v>37</v>
      </c>
      <c r="AX149" s="87">
        <v>550999</v>
      </c>
      <c r="AY149" s="87"/>
      <c r="AZ149" s="87"/>
      <c r="BA149" s="88">
        <f>IF(AS149=1,0,0)</f>
        <v>0</v>
      </c>
      <c r="BB149" s="88"/>
      <c r="BC149" s="88"/>
      <c r="BE149" s="41">
        <f>IF(AND($BJ$161&gt;=BF149,$BJ$161&lt;=BJ149,$BL$165&lt;=10000000),1,(IF(AND($BJ$161&gt;=BF149,$BJ$161&lt;=BJ149,$BL$165&gt;10000000,$BL$165&lt;=20000000),2,(IF(AND($BJ$161&gt;=BF149,$BJ$161&lt;=BJ149,$BL$165&gt;20000000),3,0)))))</f>
        <v>1</v>
      </c>
      <c r="BF149" s="87">
        <v>0</v>
      </c>
      <c r="BG149" s="87"/>
      <c r="BH149" s="87"/>
      <c r="BI149" s="79" t="s">
        <v>37</v>
      </c>
      <c r="BJ149" s="87">
        <v>1299999</v>
      </c>
      <c r="BK149" s="87"/>
      <c r="BL149" s="87"/>
      <c r="BM149" s="88">
        <f>MAX(IF(BE149=1,BJ161-600000,IF(BE149=2,BJ161-500000,IF(BE149=3,BJ161-400000,0))),)</f>
        <v>0</v>
      </c>
      <c r="BN149" s="88"/>
      <c r="BO149" s="88"/>
      <c r="BP149" s="49"/>
      <c r="BQ149" s="41">
        <f>IF(AND($BV$161&gt;=BR149,$BV$161&lt;=BV149,$BX$165&lt;=10000000),1,(IF(AND($BV$161&gt;=BR149,$BV$161&lt;=BV149,$BX$165&gt;10000000,$BX$165&lt;=20000000),2,(IF(AND($BV$161&gt;=BR149,$BV$161&lt;=BV149,$BX$165&gt;20000000),3,0)))))</f>
        <v>1</v>
      </c>
      <c r="BR149" s="87">
        <v>0</v>
      </c>
      <c r="BS149" s="87"/>
      <c r="BT149" s="87"/>
      <c r="BU149" s="79" t="s">
        <v>37</v>
      </c>
      <c r="BV149" s="87">
        <v>3299999</v>
      </c>
      <c r="BW149" s="87"/>
      <c r="BX149" s="87"/>
      <c r="BY149" s="88">
        <f>MAX(IF(BQ149=1,BV161-1100000,IF(BQ149=2,BV161-1000000,IF(BQ149=3,BV161-900000,0))),)</f>
        <v>0</v>
      </c>
      <c r="BZ149" s="88"/>
      <c r="CA149" s="88"/>
    </row>
    <row r="150" spans="45:79" x14ac:dyDescent="0.15">
      <c r="AS150" s="41">
        <f t="shared" ref="AS150:AS157" si="36">IF(AND($AX$161&gt;=AT150,$AX$161&lt;=AX150),1,0)</f>
        <v>0</v>
      </c>
      <c r="AT150" s="87">
        <v>551000</v>
      </c>
      <c r="AU150" s="87"/>
      <c r="AV150" s="87"/>
      <c r="AW150" s="79" t="s">
        <v>37</v>
      </c>
      <c r="AX150" s="87">
        <v>1618999</v>
      </c>
      <c r="AY150" s="87"/>
      <c r="AZ150" s="87"/>
      <c r="BA150" s="88">
        <f>IF(AS150=1,AX161-550000,0)</f>
        <v>0</v>
      </c>
      <c r="BB150" s="88"/>
      <c r="BC150" s="88"/>
      <c r="BE150" s="41">
        <f t="shared" ref="BE150:BE152" si="37">IF(AND($BJ$161&gt;=BF150,$BJ$161&lt;=BJ150,$BL$165&lt;=10000000),1,(IF(AND($BJ$161&gt;=BF150,$BJ$161&lt;=BJ150,$BL$165&gt;10000000,$BL$165&lt;=20000000),2,(IF(AND($BJ$161&gt;=BF150,$BJ$161&lt;=BJ150,$BL$165&gt;20000000),3,0)))))</f>
        <v>0</v>
      </c>
      <c r="BF150" s="87">
        <v>1300000</v>
      </c>
      <c r="BG150" s="87"/>
      <c r="BH150" s="87"/>
      <c r="BI150" s="79" t="s">
        <v>37</v>
      </c>
      <c r="BJ150" s="87">
        <v>4099999</v>
      </c>
      <c r="BK150" s="87"/>
      <c r="BL150" s="87"/>
      <c r="BM150" s="88">
        <f>IF(BE150=1,BJ161*0.75-275000,IF(BE150=2,BJ161*0.75-175000,IF(BE150=3,BJ161*0.75-75000,0)))</f>
        <v>0</v>
      </c>
      <c r="BN150" s="88"/>
      <c r="BO150" s="88"/>
      <c r="BP150" s="49"/>
      <c r="BQ150" s="41">
        <f t="shared" ref="BQ150:BQ152" si="38">IF(AND($BV$161&gt;=BR150,$BV$161&lt;=BV150,$BX$165&lt;=10000000),1,(IF(AND($BV$161&gt;=BR150,$BV$161&lt;=BV150,$BX$165&gt;10000000,$BX$165&lt;=20000000),2,(IF(AND($BV$161&gt;=BR150,$BV$161&lt;=BV150,$BX$165&gt;20000000),3,0)))))</f>
        <v>0</v>
      </c>
      <c r="BR150" s="87">
        <v>3300000</v>
      </c>
      <c r="BS150" s="87"/>
      <c r="BT150" s="87"/>
      <c r="BU150" s="79" t="s">
        <v>37</v>
      </c>
      <c r="BV150" s="87">
        <v>4099999</v>
      </c>
      <c r="BW150" s="87"/>
      <c r="BX150" s="87"/>
      <c r="BY150" s="88">
        <f>IF(BQ150=1,BV161*0.75-275000,IF(BQ150=2,BV161*0.75-175000,IF(BQ150=3,BV161*0.75-75000,0)))</f>
        <v>0</v>
      </c>
      <c r="BZ150" s="88"/>
      <c r="CA150" s="88"/>
    </row>
    <row r="151" spans="45:79" x14ac:dyDescent="0.15">
      <c r="AS151" s="41">
        <f t="shared" si="36"/>
        <v>0</v>
      </c>
      <c r="AT151" s="87">
        <v>1619000</v>
      </c>
      <c r="AU151" s="87"/>
      <c r="AV151" s="87"/>
      <c r="AW151" s="79" t="s">
        <v>37</v>
      </c>
      <c r="AX151" s="87">
        <v>1619999</v>
      </c>
      <c r="AY151" s="87"/>
      <c r="AZ151" s="87"/>
      <c r="BA151" s="88">
        <f>IF(AS151=1,1069000,0)</f>
        <v>0</v>
      </c>
      <c r="BB151" s="88"/>
      <c r="BC151" s="88"/>
      <c r="BE151" s="41">
        <f t="shared" si="37"/>
        <v>0</v>
      </c>
      <c r="BF151" s="87">
        <v>4100000</v>
      </c>
      <c r="BG151" s="87"/>
      <c r="BH151" s="87"/>
      <c r="BI151" s="79" t="s">
        <v>37</v>
      </c>
      <c r="BJ151" s="87">
        <v>7699999</v>
      </c>
      <c r="BK151" s="87"/>
      <c r="BL151" s="87"/>
      <c r="BM151" s="88">
        <f>IF(BE151=1,BJ161*0.85-685000,IF(BE151=2,BJ161*0.85-585000,IF(BE151=3,BJ161*0.85-485000,0)))</f>
        <v>0</v>
      </c>
      <c r="BN151" s="88"/>
      <c r="BO151" s="88"/>
      <c r="BP151" s="49"/>
      <c r="BQ151" s="41">
        <f t="shared" si="38"/>
        <v>0</v>
      </c>
      <c r="BR151" s="87">
        <v>4100000</v>
      </c>
      <c r="BS151" s="87"/>
      <c r="BT151" s="87"/>
      <c r="BU151" s="79" t="s">
        <v>37</v>
      </c>
      <c r="BV151" s="87">
        <v>7699999</v>
      </c>
      <c r="BW151" s="87"/>
      <c r="BX151" s="87"/>
      <c r="BY151" s="88">
        <f>IF(BQ151=1,BV161*0.85-685000,IF(BQ151=2,BV161*0.85-585000,IF(BQ151=3,BV161*0.85-485000,0)))</f>
        <v>0</v>
      </c>
      <c r="BZ151" s="88"/>
      <c r="CA151" s="88"/>
    </row>
    <row r="152" spans="45:79" x14ac:dyDescent="0.15">
      <c r="AS152" s="41">
        <f t="shared" si="36"/>
        <v>0</v>
      </c>
      <c r="AT152" s="87">
        <v>1620000</v>
      </c>
      <c r="AU152" s="87"/>
      <c r="AV152" s="87"/>
      <c r="AW152" s="79" t="s">
        <v>37</v>
      </c>
      <c r="AX152" s="87">
        <v>1621999</v>
      </c>
      <c r="AY152" s="87"/>
      <c r="AZ152" s="87"/>
      <c r="BA152" s="88">
        <f>IF(AS152=1,1070000,0)</f>
        <v>0</v>
      </c>
      <c r="BB152" s="88"/>
      <c r="BC152" s="88"/>
      <c r="BE152" s="41">
        <f t="shared" si="37"/>
        <v>0</v>
      </c>
      <c r="BF152" s="87">
        <v>7700000</v>
      </c>
      <c r="BG152" s="87"/>
      <c r="BH152" s="87"/>
      <c r="BI152" s="79" t="s">
        <v>37</v>
      </c>
      <c r="BJ152" s="87">
        <v>9999999</v>
      </c>
      <c r="BK152" s="87"/>
      <c r="BL152" s="87"/>
      <c r="BM152" s="88">
        <f>IF(BE152=1,BJ161*0.95-1455000,IF(BE152=2,BJ161*0.95-1355000,IF(BE152=3,BJ161*0.95-1255000,0)))</f>
        <v>0</v>
      </c>
      <c r="BN152" s="88"/>
      <c r="BO152" s="88"/>
      <c r="BP152" s="49"/>
      <c r="BQ152" s="41">
        <f t="shared" si="38"/>
        <v>0</v>
      </c>
      <c r="BR152" s="87">
        <v>7700000</v>
      </c>
      <c r="BS152" s="87"/>
      <c r="BT152" s="87"/>
      <c r="BU152" s="79" t="s">
        <v>37</v>
      </c>
      <c r="BV152" s="87">
        <v>9999999</v>
      </c>
      <c r="BW152" s="87"/>
      <c r="BX152" s="87"/>
      <c r="BY152" s="88">
        <f>IF(BQ152=1,BV161*0.95-1455000,IF(BQ152=2,BV161*0.95-1355000,IF(BQ152=3,BV161*0.95-1255000,0)))</f>
        <v>0</v>
      </c>
      <c r="BZ152" s="88"/>
      <c r="CA152" s="88"/>
    </row>
    <row r="153" spans="45:79" x14ac:dyDescent="0.15">
      <c r="AS153" s="41">
        <f t="shared" si="36"/>
        <v>0</v>
      </c>
      <c r="AT153" s="87">
        <v>1622000</v>
      </c>
      <c r="AU153" s="87"/>
      <c r="AV153" s="87"/>
      <c r="AW153" s="79" t="s">
        <v>37</v>
      </c>
      <c r="AX153" s="87">
        <v>1623999</v>
      </c>
      <c r="AY153" s="87"/>
      <c r="AZ153" s="87"/>
      <c r="BA153" s="88">
        <f>IF(AS153=1,1072000,0)</f>
        <v>0</v>
      </c>
      <c r="BB153" s="88"/>
      <c r="BC153" s="88"/>
      <c r="BE153" s="41">
        <f>IF(AND($BJ$161&gt;=BF153,$BL$165&lt;=10000000),1,(IF(AND($BJ$161&gt;=BF153,$BL$165&gt;10000000,$BL$165&lt;=20000000),2,(IF(AND($BJ$161&gt;=BF153,$BL$165&gt;20000000),3,0)))))</f>
        <v>0</v>
      </c>
      <c r="BF153" s="87">
        <v>10000000</v>
      </c>
      <c r="BG153" s="87"/>
      <c r="BH153" s="87"/>
      <c r="BI153" s="79" t="s">
        <v>37</v>
      </c>
      <c r="BJ153" s="87"/>
      <c r="BK153" s="87"/>
      <c r="BL153" s="87"/>
      <c r="BM153" s="88">
        <f>IF(BE153=1,BJ161-1955000,IF(BE153=2,BJ161-1855000,IF(BE153=3,BJ161-1755000,0)))</f>
        <v>0</v>
      </c>
      <c r="BN153" s="88"/>
      <c r="BO153" s="88"/>
      <c r="BP153" s="49"/>
      <c r="BQ153" s="41">
        <f>IF(AND($BV$161&gt;=BR153,$BX$165&lt;=10000000),1,(IF(AND($BV$161&gt;=BR153,$BX$165&gt;10000000,$BX$165&lt;=20000000),2,(IF(AND($BV$161&gt;=BR153,$BX$165&gt;20000000),3,0)))))</f>
        <v>0</v>
      </c>
      <c r="BR153" s="87">
        <v>10000000</v>
      </c>
      <c r="BS153" s="87"/>
      <c r="BT153" s="87"/>
      <c r="BU153" s="79" t="s">
        <v>37</v>
      </c>
      <c r="BV153" s="87"/>
      <c r="BW153" s="87"/>
      <c r="BX153" s="87"/>
      <c r="BY153" s="88">
        <f>IF(BQ153=1,BV161-1955000,IF(BQ153=2,BV161-1855000,IF(BQ153=3,BV161-1755000,0)))</f>
        <v>0</v>
      </c>
      <c r="BZ153" s="88"/>
      <c r="CA153" s="88"/>
    </row>
    <row r="154" spans="45:79" x14ac:dyDescent="0.15">
      <c r="AS154" s="41">
        <f t="shared" si="36"/>
        <v>0</v>
      </c>
      <c r="AT154" s="87">
        <v>1624000</v>
      </c>
      <c r="AU154" s="87"/>
      <c r="AV154" s="87"/>
      <c r="AW154" s="79" t="s">
        <v>37</v>
      </c>
      <c r="AX154" s="87">
        <v>1627999</v>
      </c>
      <c r="AY154" s="87"/>
      <c r="AZ154" s="87"/>
      <c r="BA154" s="88">
        <f>IF(AS154=1,1074000,0)</f>
        <v>0</v>
      </c>
      <c r="BB154" s="88"/>
      <c r="BC154" s="88"/>
      <c r="BE154" s="41"/>
      <c r="BF154" s="87"/>
      <c r="BG154" s="87"/>
      <c r="BH154" s="87"/>
      <c r="BI154" s="79" t="s">
        <v>37</v>
      </c>
      <c r="BJ154" s="87"/>
      <c r="BK154" s="87"/>
      <c r="BL154" s="87"/>
      <c r="BM154" s="88"/>
      <c r="BN154" s="88"/>
      <c r="BO154" s="88"/>
      <c r="BP154" s="49"/>
      <c r="BQ154" s="41"/>
      <c r="BR154" s="87"/>
      <c r="BS154" s="87"/>
      <c r="BT154" s="87"/>
      <c r="BU154" s="79" t="s">
        <v>37</v>
      </c>
      <c r="BV154" s="87"/>
      <c r="BW154" s="87"/>
      <c r="BX154" s="87"/>
      <c r="BY154" s="88"/>
      <c r="BZ154" s="88"/>
      <c r="CA154" s="88"/>
    </row>
    <row r="155" spans="45:79" x14ac:dyDescent="0.15">
      <c r="AS155" s="41">
        <f t="shared" si="36"/>
        <v>0</v>
      </c>
      <c r="AT155" s="87">
        <v>1628000</v>
      </c>
      <c r="AU155" s="87"/>
      <c r="AV155" s="87"/>
      <c r="AW155" s="79" t="s">
        <v>37</v>
      </c>
      <c r="AX155" s="87">
        <v>1799999</v>
      </c>
      <c r="AY155" s="87"/>
      <c r="AZ155" s="87"/>
      <c r="BA155" s="88">
        <f>IF(AS155=1,ROUNDDOWN(AX161/4,-3)*2.4+100000,0)</f>
        <v>0</v>
      </c>
      <c r="BB155" s="88"/>
      <c r="BC155" s="88"/>
      <c r="BE155" s="41"/>
      <c r="BF155" s="87"/>
      <c r="BG155" s="87"/>
      <c r="BH155" s="87"/>
      <c r="BI155" s="79" t="s">
        <v>37</v>
      </c>
      <c r="BJ155" s="87"/>
      <c r="BK155" s="87"/>
      <c r="BL155" s="87"/>
      <c r="BM155" s="88"/>
      <c r="BN155" s="88"/>
      <c r="BO155" s="88"/>
      <c r="BP155" s="49"/>
      <c r="BQ155" s="41"/>
      <c r="BR155" s="87"/>
      <c r="BS155" s="87"/>
      <c r="BT155" s="87"/>
      <c r="BU155" s="79" t="s">
        <v>37</v>
      </c>
      <c r="BV155" s="87"/>
      <c r="BW155" s="87"/>
      <c r="BX155" s="87"/>
      <c r="BY155" s="88"/>
      <c r="BZ155" s="88"/>
      <c r="CA155" s="88"/>
    </row>
    <row r="156" spans="45:79" x14ac:dyDescent="0.15">
      <c r="AS156" s="41">
        <f t="shared" si="36"/>
        <v>0</v>
      </c>
      <c r="AT156" s="87">
        <v>1800000</v>
      </c>
      <c r="AU156" s="87"/>
      <c r="AV156" s="87"/>
      <c r="AW156" s="79" t="s">
        <v>37</v>
      </c>
      <c r="AX156" s="87">
        <v>3599999</v>
      </c>
      <c r="AY156" s="87"/>
      <c r="AZ156" s="87"/>
      <c r="BA156" s="88">
        <f>IF(AS156=1,ROUNDDOWN(AX161/4,-3)*2.8-80000,0)</f>
        <v>0</v>
      </c>
      <c r="BB156" s="88"/>
      <c r="BC156" s="88"/>
      <c r="BE156" s="41"/>
      <c r="BF156" s="87"/>
      <c r="BG156" s="87"/>
      <c r="BH156" s="87"/>
      <c r="BI156" s="79" t="s">
        <v>37</v>
      </c>
      <c r="BJ156" s="87"/>
      <c r="BK156" s="87"/>
      <c r="BL156" s="87"/>
      <c r="BM156" s="88"/>
      <c r="BN156" s="88"/>
      <c r="BO156" s="88"/>
      <c r="BP156" s="49"/>
      <c r="BQ156" s="41"/>
      <c r="BR156" s="87"/>
      <c r="BS156" s="87"/>
      <c r="BT156" s="87"/>
      <c r="BU156" s="79" t="s">
        <v>37</v>
      </c>
      <c r="BV156" s="87"/>
      <c r="BW156" s="87"/>
      <c r="BX156" s="87"/>
      <c r="BY156" s="88"/>
      <c r="BZ156" s="88"/>
      <c r="CA156" s="88"/>
    </row>
    <row r="157" spans="45:79" x14ac:dyDescent="0.15">
      <c r="AS157" s="41">
        <f t="shared" si="36"/>
        <v>0</v>
      </c>
      <c r="AT157" s="87">
        <v>3600000</v>
      </c>
      <c r="AU157" s="87"/>
      <c r="AV157" s="87"/>
      <c r="AW157" s="79" t="s">
        <v>37</v>
      </c>
      <c r="AX157" s="87">
        <v>6599999</v>
      </c>
      <c r="AY157" s="87"/>
      <c r="AZ157" s="87"/>
      <c r="BA157" s="88">
        <f>IF(AS157=1,ROUNDDOWN(AX161/4,-3)*3.2-440000,0)</f>
        <v>0</v>
      </c>
      <c r="BB157" s="88"/>
      <c r="BC157" s="88"/>
      <c r="BE157" s="41"/>
      <c r="BF157" s="87"/>
      <c r="BG157" s="87"/>
      <c r="BH157" s="87"/>
      <c r="BI157" s="79" t="s">
        <v>37</v>
      </c>
      <c r="BJ157" s="87"/>
      <c r="BK157" s="87"/>
      <c r="BL157" s="87"/>
      <c r="BM157" s="88"/>
      <c r="BN157" s="88"/>
      <c r="BO157" s="88"/>
      <c r="BP157" s="49"/>
      <c r="BQ157" s="41"/>
      <c r="BR157" s="87"/>
      <c r="BS157" s="87"/>
      <c r="BT157" s="87"/>
      <c r="BU157" s="79" t="s">
        <v>37</v>
      </c>
      <c r="BV157" s="87"/>
      <c r="BW157" s="87"/>
      <c r="BX157" s="87"/>
      <c r="BY157" s="88"/>
      <c r="BZ157" s="88"/>
      <c r="CA157" s="88"/>
    </row>
    <row r="158" spans="45:79" x14ac:dyDescent="0.15">
      <c r="AS158" s="41">
        <f>IF(AND($AX$161&gt;=AT158,$AX$161&lt;=AX158),1,0)</f>
        <v>0</v>
      </c>
      <c r="AT158" s="87">
        <v>6600000</v>
      </c>
      <c r="AU158" s="87"/>
      <c r="AV158" s="87"/>
      <c r="AW158" s="79" t="s">
        <v>37</v>
      </c>
      <c r="AX158" s="87">
        <v>8499999</v>
      </c>
      <c r="AY158" s="87"/>
      <c r="AZ158" s="87"/>
      <c r="BA158" s="88">
        <f>IF(AS158=1,AX161*0.9-1100000,0)</f>
        <v>0</v>
      </c>
      <c r="BB158" s="88"/>
      <c r="BC158" s="88"/>
      <c r="BE158" s="41"/>
      <c r="BF158" s="87"/>
      <c r="BG158" s="87"/>
      <c r="BH158" s="87"/>
      <c r="BI158" s="79" t="s">
        <v>37</v>
      </c>
      <c r="BJ158" s="87"/>
      <c r="BK158" s="87"/>
      <c r="BL158" s="87"/>
      <c r="BM158" s="88"/>
      <c r="BN158" s="88"/>
      <c r="BO158" s="88"/>
      <c r="BP158" s="49"/>
      <c r="BQ158" s="41"/>
      <c r="BR158" s="87"/>
      <c r="BS158" s="87"/>
      <c r="BT158" s="87"/>
      <c r="BU158" s="79" t="s">
        <v>37</v>
      </c>
      <c r="BV158" s="87"/>
      <c r="BW158" s="87"/>
      <c r="BX158" s="87"/>
      <c r="BY158" s="88"/>
      <c r="BZ158" s="88"/>
      <c r="CA158" s="88"/>
    </row>
    <row r="159" spans="45:79" x14ac:dyDescent="0.15">
      <c r="AS159" s="41">
        <f>IF($AX$161&gt;=AT159,1,0)</f>
        <v>0</v>
      </c>
      <c r="AT159" s="87">
        <v>8500000</v>
      </c>
      <c r="AU159" s="87"/>
      <c r="AV159" s="87"/>
      <c r="AW159" s="79" t="s">
        <v>37</v>
      </c>
      <c r="AX159" s="87"/>
      <c r="AY159" s="87"/>
      <c r="AZ159" s="87"/>
      <c r="BA159" s="88">
        <f>IF(AS159=1,AX161-1950000,0)</f>
        <v>0</v>
      </c>
      <c r="BB159" s="88"/>
      <c r="BC159" s="88"/>
      <c r="BE159" s="41"/>
      <c r="BF159" s="87"/>
      <c r="BG159" s="87"/>
      <c r="BH159" s="87"/>
      <c r="BI159" s="79" t="s">
        <v>37</v>
      </c>
      <c r="BJ159" s="87"/>
      <c r="BK159" s="87"/>
      <c r="BL159" s="87"/>
      <c r="BM159" s="88"/>
      <c r="BN159" s="88"/>
      <c r="BO159" s="88"/>
      <c r="BP159" s="49"/>
      <c r="BQ159" s="41"/>
      <c r="BR159" s="87"/>
      <c r="BS159" s="87"/>
      <c r="BT159" s="87"/>
      <c r="BU159" s="79" t="s">
        <v>37</v>
      </c>
      <c r="BV159" s="87"/>
      <c r="BW159" s="87"/>
      <c r="BX159" s="87"/>
      <c r="BY159" s="88"/>
      <c r="BZ159" s="88"/>
      <c r="CA159" s="88"/>
    </row>
    <row r="160" spans="45:79" x14ac:dyDescent="0.15">
      <c r="AS160" s="78"/>
      <c r="AT160" s="46"/>
      <c r="AU160" s="46"/>
      <c r="AV160" s="46"/>
      <c r="AW160" s="78"/>
      <c r="AX160" s="38"/>
      <c r="AY160" s="38"/>
      <c r="AZ160" s="38"/>
      <c r="BA160" s="43"/>
      <c r="BB160" s="43"/>
      <c r="BC160" s="43"/>
      <c r="BE160" s="78"/>
      <c r="BF160" s="46"/>
      <c r="BG160" s="46"/>
      <c r="BH160" s="46"/>
      <c r="BI160" s="78"/>
      <c r="BJ160" s="38"/>
      <c r="BK160" s="38"/>
      <c r="BL160" s="38"/>
      <c r="BM160" s="43"/>
      <c r="BN160" s="43"/>
      <c r="BO160" s="43"/>
      <c r="BP160" s="43"/>
      <c r="BQ160" s="78"/>
      <c r="BR160" s="46"/>
      <c r="BS160" s="46"/>
      <c r="BT160" s="46"/>
      <c r="BU160" s="78"/>
      <c r="BV160" s="38"/>
      <c r="BW160" s="38"/>
      <c r="BX160" s="38"/>
      <c r="BY160" s="43"/>
      <c r="BZ160" s="43"/>
      <c r="CA160" s="43"/>
    </row>
    <row r="161" spans="45:79" x14ac:dyDescent="0.15">
      <c r="AS161" s="78"/>
      <c r="AT161" s="104" t="s">
        <v>31</v>
      </c>
      <c r="AU161" s="104"/>
      <c r="AV161" s="104"/>
      <c r="AW161" s="104"/>
      <c r="AX161" s="105">
        <f>F26</f>
        <v>0</v>
      </c>
      <c r="AY161" s="106"/>
      <c r="AZ161" s="107"/>
      <c r="BA161" s="44"/>
      <c r="BB161" s="45"/>
      <c r="BC161" s="45"/>
      <c r="BE161" s="78"/>
      <c r="BF161" s="104" t="s">
        <v>43</v>
      </c>
      <c r="BG161" s="104"/>
      <c r="BH161" s="104"/>
      <c r="BI161" s="104"/>
      <c r="BJ161" s="108">
        <f>J26</f>
        <v>0</v>
      </c>
      <c r="BK161" s="108"/>
      <c r="BL161" s="108"/>
      <c r="BM161" s="44"/>
      <c r="BN161" s="45"/>
      <c r="BO161" s="45"/>
      <c r="BP161" s="45"/>
      <c r="BQ161" s="78"/>
      <c r="BR161" s="104" t="s">
        <v>43</v>
      </c>
      <c r="BS161" s="104"/>
      <c r="BT161" s="104"/>
      <c r="BU161" s="104"/>
      <c r="BV161" s="108">
        <f>BJ161</f>
        <v>0</v>
      </c>
      <c r="BW161" s="108"/>
      <c r="BX161" s="108"/>
      <c r="BY161" s="44"/>
      <c r="BZ161" s="45"/>
      <c r="CA161" s="45"/>
    </row>
    <row r="162" spans="45:79" x14ac:dyDescent="0.15">
      <c r="AT162" s="104" t="s">
        <v>42</v>
      </c>
      <c r="AU162" s="104"/>
      <c r="AV162" s="104"/>
      <c r="AW162" s="104"/>
      <c r="AX162" s="119">
        <f>SUM(BA149:BC159)</f>
        <v>0</v>
      </c>
      <c r="AY162" s="112"/>
      <c r="AZ162" s="112"/>
      <c r="BF162" s="104" t="s">
        <v>44</v>
      </c>
      <c r="BG162" s="104"/>
      <c r="BH162" s="104"/>
      <c r="BI162" s="104"/>
      <c r="BJ162" s="119">
        <f>SUM(BM149:BO159)</f>
        <v>0</v>
      </c>
      <c r="BK162" s="112"/>
      <c r="BL162" s="112"/>
      <c r="BM162" s="65">
        <f>IF(D26&lt;65,1,0)</f>
        <v>1</v>
      </c>
      <c r="BR162" s="104" t="s">
        <v>44</v>
      </c>
      <c r="BS162" s="104"/>
      <c r="BT162" s="104"/>
      <c r="BU162" s="104"/>
      <c r="BV162" s="119">
        <f>SUM(BY149:CA159)</f>
        <v>0</v>
      </c>
      <c r="BW162" s="112"/>
      <c r="BX162" s="112"/>
      <c r="BY162" s="65">
        <f>IF(D26&lt;65,0,1)</f>
        <v>0</v>
      </c>
    </row>
    <row r="163" spans="45:79" x14ac:dyDescent="0.15">
      <c r="BJ163" s="47"/>
      <c r="BK163" s="47"/>
      <c r="BL163" s="47"/>
      <c r="BV163" s="47"/>
      <c r="BW163" s="47"/>
      <c r="BX163" s="47"/>
    </row>
    <row r="164" spans="45:79" x14ac:dyDescent="0.15">
      <c r="BE164" s="112" t="s">
        <v>45</v>
      </c>
      <c r="BF164" s="112"/>
      <c r="BG164" s="112"/>
      <c r="BH164" s="112"/>
      <c r="BI164" s="112"/>
      <c r="BJ164" s="112"/>
      <c r="BK164" s="112"/>
      <c r="BL164" s="112"/>
      <c r="BM164" s="112"/>
      <c r="BN164" s="112"/>
      <c r="BO164" s="112"/>
      <c r="BP164" s="69"/>
      <c r="BQ164" s="112" t="s">
        <v>45</v>
      </c>
      <c r="BR164" s="112"/>
      <c r="BS164" s="112"/>
      <c r="BT164" s="112"/>
      <c r="BU164" s="112"/>
      <c r="BV164" s="112"/>
      <c r="BW164" s="112"/>
      <c r="BX164" s="112"/>
      <c r="BY164" s="112"/>
      <c r="BZ164" s="112"/>
      <c r="CA164" s="112"/>
    </row>
    <row r="165" spans="45:79" x14ac:dyDescent="0.15">
      <c r="BL165" s="118">
        <f>V26</f>
        <v>0</v>
      </c>
      <c r="BM165" s="118"/>
      <c r="BN165" s="118"/>
      <c r="BO165" s="118"/>
      <c r="BP165" s="50"/>
      <c r="BX165" s="118">
        <f>BL165</f>
        <v>0</v>
      </c>
      <c r="BY165" s="118"/>
      <c r="BZ165" s="118"/>
      <c r="CA165" s="118"/>
    </row>
    <row r="166" spans="45:79" x14ac:dyDescent="0.15">
      <c r="AT166" t="s">
        <v>79</v>
      </c>
    </row>
    <row r="167" spans="45:79" x14ac:dyDescent="0.15">
      <c r="AT167" s="112" t="s">
        <v>42</v>
      </c>
      <c r="AU167" s="112"/>
      <c r="AV167" s="112"/>
      <c r="AW167" s="112"/>
      <c r="AX167" s="119">
        <f>AX162</f>
        <v>0</v>
      </c>
      <c r="AY167" s="112"/>
      <c r="AZ167" s="112"/>
      <c r="BB167" t="s">
        <v>87</v>
      </c>
    </row>
    <row r="168" spans="45:79" x14ac:dyDescent="0.15">
      <c r="AT168" s="112" t="s">
        <v>48</v>
      </c>
      <c r="AU168" s="112"/>
      <c r="AV168" s="112"/>
      <c r="AW168" s="112"/>
      <c r="AX168" s="143">
        <f>IF(BM162=1,BJ162,IF(BY162=1,BV162,0))</f>
        <v>0</v>
      </c>
      <c r="AY168" s="143"/>
      <c r="AZ168" s="143"/>
      <c r="BB168" t="s">
        <v>86</v>
      </c>
    </row>
    <row r="169" spans="45:79" x14ac:dyDescent="0.15">
      <c r="AT169" s="112" t="s">
        <v>49</v>
      </c>
      <c r="AU169" s="112"/>
      <c r="AV169" s="112"/>
      <c r="AW169" s="112"/>
      <c r="AX169" s="119">
        <f>SUM(AX167:AZ168)+IF((AND(AX167&gt;0,AX168&gt;0,(AX167+AX168)&gt;100000)),-100000,0)</f>
        <v>0</v>
      </c>
      <c r="AY169" s="112"/>
      <c r="AZ169" s="112"/>
      <c r="BB169" t="s">
        <v>70</v>
      </c>
      <c r="BP169" s="70"/>
      <c r="BQ169" s="70"/>
    </row>
    <row r="171" spans="45:79" x14ac:dyDescent="0.15">
      <c r="AT171" s="112" t="s">
        <v>66</v>
      </c>
      <c r="AU171" s="112"/>
      <c r="AV171" s="112"/>
      <c r="AW171" s="112"/>
      <c r="AX171" s="143">
        <f>MAX(IF(BM162=1,BJ162,IF(BY162=1,BV162-150000,0)),0)</f>
        <v>0</v>
      </c>
      <c r="AY171" s="143"/>
      <c r="AZ171" s="143"/>
    </row>
    <row r="173" spans="45:79" x14ac:dyDescent="0.15">
      <c r="AS173" s="93" t="s">
        <v>36</v>
      </c>
      <c r="AT173" s="94"/>
      <c r="AU173" s="94"/>
      <c r="AV173" s="94"/>
      <c r="AW173" s="94"/>
      <c r="AX173" s="94"/>
      <c r="AY173" s="94"/>
      <c r="AZ173" s="94"/>
      <c r="BA173" s="94"/>
      <c r="BB173" s="94"/>
      <c r="BC173" s="95"/>
      <c r="BE173" s="51"/>
      <c r="BF173" s="93" t="s">
        <v>47</v>
      </c>
      <c r="BG173" s="94"/>
      <c r="BH173" s="94"/>
      <c r="BI173" s="94"/>
      <c r="BJ173" s="94"/>
      <c r="BK173" s="94"/>
      <c r="BL173" s="94"/>
      <c r="BM173" s="94"/>
      <c r="BN173" s="94"/>
      <c r="BO173" s="95"/>
      <c r="BP173" s="69"/>
      <c r="BQ173" s="51"/>
      <c r="BR173" s="93" t="s">
        <v>46</v>
      </c>
      <c r="BS173" s="94"/>
      <c r="BT173" s="94"/>
      <c r="BU173" s="94"/>
      <c r="BV173" s="94"/>
      <c r="BW173" s="94"/>
      <c r="BX173" s="94"/>
      <c r="BY173" s="94"/>
      <c r="BZ173" s="94"/>
      <c r="CA173" s="95"/>
    </row>
    <row r="174" spans="45:79" x14ac:dyDescent="0.15">
      <c r="AS174" s="91"/>
      <c r="AT174" s="89" t="s">
        <v>38</v>
      </c>
      <c r="AU174" s="89"/>
      <c r="AV174" s="89"/>
      <c r="AW174" s="89"/>
      <c r="AX174" s="89"/>
      <c r="AY174" s="89"/>
      <c r="AZ174" s="89"/>
      <c r="BA174" s="89" t="s">
        <v>39</v>
      </c>
      <c r="BB174" s="89"/>
      <c r="BC174" s="89"/>
      <c r="BE174" s="91"/>
      <c r="BF174" s="89" t="s">
        <v>38</v>
      </c>
      <c r="BG174" s="89"/>
      <c r="BH174" s="89"/>
      <c r="BI174" s="89"/>
      <c r="BJ174" s="89"/>
      <c r="BK174" s="89"/>
      <c r="BL174" s="89"/>
      <c r="BM174" s="89" t="s">
        <v>39</v>
      </c>
      <c r="BN174" s="89"/>
      <c r="BO174" s="89"/>
      <c r="BP174" s="48"/>
      <c r="BQ174" s="91"/>
      <c r="BR174" s="89" t="s">
        <v>38</v>
      </c>
      <c r="BS174" s="89"/>
      <c r="BT174" s="89"/>
      <c r="BU174" s="89"/>
      <c r="BV174" s="89"/>
      <c r="BW174" s="89"/>
      <c r="BX174" s="89"/>
      <c r="BY174" s="89" t="s">
        <v>39</v>
      </c>
      <c r="BZ174" s="89"/>
      <c r="CA174" s="89"/>
    </row>
    <row r="175" spans="45:79" x14ac:dyDescent="0.15">
      <c r="AS175" s="92"/>
      <c r="AT175" s="90"/>
      <c r="AU175" s="90"/>
      <c r="AV175" s="90"/>
      <c r="AW175" s="90"/>
      <c r="AX175" s="90"/>
      <c r="AY175" s="90"/>
      <c r="AZ175" s="90"/>
      <c r="BA175" s="90"/>
      <c r="BB175" s="90"/>
      <c r="BC175" s="90"/>
      <c r="BE175" s="92"/>
      <c r="BF175" s="90"/>
      <c r="BG175" s="90"/>
      <c r="BH175" s="90"/>
      <c r="BI175" s="90"/>
      <c r="BJ175" s="90"/>
      <c r="BK175" s="90"/>
      <c r="BL175" s="90"/>
      <c r="BM175" s="90"/>
      <c r="BN175" s="90"/>
      <c r="BO175" s="90"/>
      <c r="BP175" s="77"/>
      <c r="BQ175" s="92"/>
      <c r="BR175" s="90"/>
      <c r="BS175" s="90"/>
      <c r="BT175" s="90"/>
      <c r="BU175" s="90"/>
      <c r="BV175" s="90"/>
      <c r="BW175" s="90"/>
      <c r="BX175" s="90"/>
      <c r="BY175" s="90"/>
      <c r="BZ175" s="90"/>
      <c r="CA175" s="90"/>
    </row>
    <row r="176" spans="45:79" x14ac:dyDescent="0.15">
      <c r="AS176" s="41">
        <f>IF(AND($AX$188&gt;=AT176,$AX$188&lt;=AX176),1,0)</f>
        <v>1</v>
      </c>
      <c r="AT176" s="87">
        <v>0</v>
      </c>
      <c r="AU176" s="87"/>
      <c r="AV176" s="87"/>
      <c r="AW176" s="79" t="s">
        <v>37</v>
      </c>
      <c r="AX176" s="87">
        <v>550999</v>
      </c>
      <c r="AY176" s="87"/>
      <c r="AZ176" s="87"/>
      <c r="BA176" s="88">
        <f>IF(AS176=1,0,0)</f>
        <v>0</v>
      </c>
      <c r="BB176" s="88"/>
      <c r="BC176" s="88"/>
      <c r="BE176" s="41">
        <f>IF(AND($BJ$188&gt;=BF176,$BJ$188&lt;=BJ176,$BL$192&lt;=10000000),1,(IF(AND($BJ$188&gt;=BF176,$BJ$188&lt;=BJ176,$BL$192&gt;10000000,$BL$192&lt;=20000000),2,(IF(AND($BJ$188&gt;=BF176,$BJ$188&lt;=BJ176,$BL$192&gt;20000000),3,0)))))</f>
        <v>1</v>
      </c>
      <c r="BF176" s="87">
        <v>0</v>
      </c>
      <c r="BG176" s="87"/>
      <c r="BH176" s="87"/>
      <c r="BI176" s="79" t="s">
        <v>37</v>
      </c>
      <c r="BJ176" s="87">
        <v>1299999</v>
      </c>
      <c r="BK176" s="87"/>
      <c r="BL176" s="87"/>
      <c r="BM176" s="88">
        <f>MAX(IF(BE176=1,BJ188-600000,IF(BE176=2,BJ188-500000,IF(BE176=3,BJ188-400000,0))),)</f>
        <v>0</v>
      </c>
      <c r="BN176" s="88"/>
      <c r="BO176" s="88"/>
      <c r="BP176" s="49"/>
      <c r="BQ176" s="41">
        <f>IF(AND($BV$188&gt;=BR176,$BV$188&lt;=BV176,$BX$192&lt;=10000000),1,(IF(AND($BV$188&gt;=BR176,$BV$188&lt;=BV176,$BX$192&gt;10000000,$BX$192&lt;=20000000),2,(IF(AND($BV$188&gt;=BR176,$BV$188&lt;=BV176,$BX$192&gt;20000000),3,0)))))</f>
        <v>1</v>
      </c>
      <c r="BR176" s="87">
        <v>0</v>
      </c>
      <c r="BS176" s="87"/>
      <c r="BT176" s="87"/>
      <c r="BU176" s="79" t="s">
        <v>37</v>
      </c>
      <c r="BV176" s="87">
        <v>3299999</v>
      </c>
      <c r="BW176" s="87"/>
      <c r="BX176" s="87"/>
      <c r="BY176" s="88">
        <f>MAX(IF(BQ176=1,BV188-1100000,IF(BQ176=2,BV188-1000000,IF(BQ176=3,BV188-900000,0))),)</f>
        <v>0</v>
      </c>
      <c r="BZ176" s="88"/>
      <c r="CA176" s="88"/>
    </row>
    <row r="177" spans="45:79" x14ac:dyDescent="0.15">
      <c r="AS177" s="41">
        <f t="shared" ref="AS177:AS184" si="39">IF(AND($AX$188&gt;=AT177,$AX$188&lt;=AX177),1,0)</f>
        <v>0</v>
      </c>
      <c r="AT177" s="87">
        <v>551000</v>
      </c>
      <c r="AU177" s="87"/>
      <c r="AV177" s="87"/>
      <c r="AW177" s="79" t="s">
        <v>37</v>
      </c>
      <c r="AX177" s="87">
        <v>1618999</v>
      </c>
      <c r="AY177" s="87"/>
      <c r="AZ177" s="87"/>
      <c r="BA177" s="88">
        <f>IF(AS177=1,AX188-550000,0)</f>
        <v>0</v>
      </c>
      <c r="BB177" s="88"/>
      <c r="BC177" s="88"/>
      <c r="BE177" s="41">
        <f>IF(AND($BJ$188&gt;=BF177,$BJ$188&lt;=BJ177,$BL$192&lt;=10000000),1,(IF(AND($BJ$188&gt;=BF177,$BJ$188&lt;=BJ177,$BL$192&gt;10000000,$BL$192&lt;=20000000),2,(IF(AND($BJ$188&gt;=BF177,$BJ$188&lt;=BJ177,$BL$192&gt;20000000),3,0)))))</f>
        <v>0</v>
      </c>
      <c r="BF177" s="87">
        <v>1300000</v>
      </c>
      <c r="BG177" s="87"/>
      <c r="BH177" s="87"/>
      <c r="BI177" s="79" t="s">
        <v>37</v>
      </c>
      <c r="BJ177" s="87">
        <v>4099999</v>
      </c>
      <c r="BK177" s="87"/>
      <c r="BL177" s="87"/>
      <c r="BM177" s="88">
        <f>IF(BE177=1,BJ188*0.75-275000,IF(BE177=2,BJ188*0.75-175000,IF(BE177=3,BJ188*0.75-75000,0)))</f>
        <v>0</v>
      </c>
      <c r="BN177" s="88"/>
      <c r="BO177" s="88"/>
      <c r="BP177" s="49"/>
      <c r="BQ177" s="41">
        <f t="shared" ref="BQ177:BQ178" si="40">IF(AND($BV$188&gt;=BR177,$BV$188&lt;=BV177,$BX$192&lt;=10000000),1,(IF(AND($BV$188&gt;=BR177,$BV$188&lt;=BV177,$BX$192&gt;10000000,$BX$192&lt;=20000000),2,(IF(AND($BV$188&gt;=BR177,$BV$188&lt;=BV177,$BX$192&gt;20000000),3,0)))))</f>
        <v>0</v>
      </c>
      <c r="BR177" s="87">
        <v>3300000</v>
      </c>
      <c r="BS177" s="87"/>
      <c r="BT177" s="87"/>
      <c r="BU177" s="79" t="s">
        <v>37</v>
      </c>
      <c r="BV177" s="87">
        <v>4099999</v>
      </c>
      <c r="BW177" s="87"/>
      <c r="BX177" s="87"/>
      <c r="BY177" s="88">
        <f>IF(BQ177=1,BV188*0.75-275000,IF(BQ177=2,BV188*0.75-175000,IF(BQ177=3,BV188*0.75-75000,0)))</f>
        <v>0</v>
      </c>
      <c r="BZ177" s="88"/>
      <c r="CA177" s="88"/>
    </row>
    <row r="178" spans="45:79" x14ac:dyDescent="0.15">
      <c r="AS178" s="41">
        <f t="shared" si="39"/>
        <v>0</v>
      </c>
      <c r="AT178" s="87">
        <v>1619000</v>
      </c>
      <c r="AU178" s="87"/>
      <c r="AV178" s="87"/>
      <c r="AW178" s="79" t="s">
        <v>37</v>
      </c>
      <c r="AX178" s="87">
        <v>1619999</v>
      </c>
      <c r="AY178" s="87"/>
      <c r="AZ178" s="87"/>
      <c r="BA178" s="88">
        <f>IF(AS178=1,1069000,0)</f>
        <v>0</v>
      </c>
      <c r="BB178" s="88"/>
      <c r="BC178" s="88"/>
      <c r="BE178" s="41">
        <f t="shared" ref="BE178:BE179" si="41">IF(AND($BJ$188&gt;=BF178,$BJ$188&lt;=BJ178,$BL$192&lt;=10000000),1,(IF(AND($BJ$188&gt;=BF178,$BJ$188&lt;=BJ178,$BL$192&gt;10000000,$BL$192&lt;=20000000),2,(IF(AND($BJ$188&gt;=BF178,$BJ$188&lt;=BJ178,$BL$192&gt;20000000),3,0)))))</f>
        <v>0</v>
      </c>
      <c r="BF178" s="87">
        <v>4100000</v>
      </c>
      <c r="BG178" s="87"/>
      <c r="BH178" s="87"/>
      <c r="BI178" s="79" t="s">
        <v>37</v>
      </c>
      <c r="BJ178" s="87">
        <v>7699999</v>
      </c>
      <c r="BK178" s="87"/>
      <c r="BL178" s="87"/>
      <c r="BM178" s="88">
        <f>IF(BE178=1,BJ188*0.85-685000,IF(BE178=2,BJ188*0.85-585000,IF(BE178=3,BJ188*0.85-485000,0)))</f>
        <v>0</v>
      </c>
      <c r="BN178" s="88"/>
      <c r="BO178" s="88"/>
      <c r="BP178" s="49"/>
      <c r="BQ178" s="41">
        <f t="shared" si="40"/>
        <v>0</v>
      </c>
      <c r="BR178" s="87">
        <v>4100000</v>
      </c>
      <c r="BS178" s="87"/>
      <c r="BT178" s="87"/>
      <c r="BU178" s="79" t="s">
        <v>37</v>
      </c>
      <c r="BV178" s="87">
        <v>7699999</v>
      </c>
      <c r="BW178" s="87"/>
      <c r="BX178" s="87"/>
      <c r="BY178" s="88">
        <f>IF(BQ178=1,BV188*0.85-685000,IF(BQ178=2,BV188*0.85-585000,IF(BQ178=3,BV188*0.85-485000,0)))</f>
        <v>0</v>
      </c>
      <c r="BZ178" s="88"/>
      <c r="CA178" s="88"/>
    </row>
    <row r="179" spans="45:79" x14ac:dyDescent="0.15">
      <c r="AS179" s="41">
        <f t="shared" si="39"/>
        <v>0</v>
      </c>
      <c r="AT179" s="87">
        <v>1620000</v>
      </c>
      <c r="AU179" s="87"/>
      <c r="AV179" s="87"/>
      <c r="AW179" s="79" t="s">
        <v>37</v>
      </c>
      <c r="AX179" s="87">
        <v>1621999</v>
      </c>
      <c r="AY179" s="87"/>
      <c r="AZ179" s="87"/>
      <c r="BA179" s="88">
        <f>IF(AS179=1,1070000,0)</f>
        <v>0</v>
      </c>
      <c r="BB179" s="88"/>
      <c r="BC179" s="88"/>
      <c r="BE179" s="41">
        <f t="shared" si="41"/>
        <v>0</v>
      </c>
      <c r="BF179" s="87">
        <v>7700000</v>
      </c>
      <c r="BG179" s="87"/>
      <c r="BH179" s="87"/>
      <c r="BI179" s="79" t="s">
        <v>37</v>
      </c>
      <c r="BJ179" s="87">
        <v>9999999</v>
      </c>
      <c r="BK179" s="87"/>
      <c r="BL179" s="87"/>
      <c r="BM179" s="88">
        <f>IF(BE179=1,BJ188*0.95-1455000,IF(BE179=2,BJ188*0.95-1355000,IF(BE179=3,BJ188*0.95-1255000,0)))</f>
        <v>0</v>
      </c>
      <c r="BN179" s="88"/>
      <c r="BO179" s="88"/>
      <c r="BP179" s="49"/>
      <c r="BQ179" s="41">
        <f>IF(AND($BV$188&gt;=BR179,$BV$188&lt;=BV179,$BX$192&lt;=10000000),1,(IF(AND($BV$188&gt;=BR179,$BV$188&lt;=BV179,$BX$192&gt;10000000,$BX$192&lt;=20000000),2,(IF(AND($BV$188&gt;=BR179,$BV$188&lt;=BV179,$BX$192&gt;20000000),3,0)))))</f>
        <v>0</v>
      </c>
      <c r="BR179" s="87">
        <v>7700000</v>
      </c>
      <c r="BS179" s="87"/>
      <c r="BT179" s="87"/>
      <c r="BU179" s="79" t="s">
        <v>37</v>
      </c>
      <c r="BV179" s="87">
        <v>9999999</v>
      </c>
      <c r="BW179" s="87"/>
      <c r="BX179" s="87"/>
      <c r="BY179" s="88">
        <f>IF(BQ179=1,BV188*0.95-1455000,IF(BQ179=2,BV188*0.95-1355000,IF(BQ179=3,BV188*0.95-1255000,0)))</f>
        <v>0</v>
      </c>
      <c r="BZ179" s="88"/>
      <c r="CA179" s="88"/>
    </row>
    <row r="180" spans="45:79" x14ac:dyDescent="0.15">
      <c r="AS180" s="41">
        <f t="shared" si="39"/>
        <v>0</v>
      </c>
      <c r="AT180" s="87">
        <v>1622000</v>
      </c>
      <c r="AU180" s="87"/>
      <c r="AV180" s="87"/>
      <c r="AW180" s="79" t="s">
        <v>37</v>
      </c>
      <c r="AX180" s="87">
        <v>1623999</v>
      </c>
      <c r="AY180" s="87"/>
      <c r="AZ180" s="87"/>
      <c r="BA180" s="88">
        <f>IF(AS180=1,1072000,0)</f>
        <v>0</v>
      </c>
      <c r="BB180" s="88"/>
      <c r="BC180" s="88"/>
      <c r="BE180" s="41">
        <f>IF(AND($BJ$188&gt;=BF180,$BL$192&lt;=10000000),1,(IF(AND($BJ$188&gt;=BF180,$BL$192&gt;10000000,$BL$192&lt;=20000000),2,(IF(AND($BJ$188&gt;=BF180,$BL$192&gt;20000000),3,0)))))</f>
        <v>0</v>
      </c>
      <c r="BF180" s="87">
        <v>10000000</v>
      </c>
      <c r="BG180" s="87"/>
      <c r="BH180" s="87"/>
      <c r="BI180" s="79" t="s">
        <v>37</v>
      </c>
      <c r="BJ180" s="87"/>
      <c r="BK180" s="87"/>
      <c r="BL180" s="87"/>
      <c r="BM180" s="88">
        <f>IF(BE180=1,BJ188-1955000,IF(BE180=2,BJ188-1855000,IF(BE180=3,BJ188-1755000,0)))</f>
        <v>0</v>
      </c>
      <c r="BN180" s="88"/>
      <c r="BO180" s="88"/>
      <c r="BP180" s="49"/>
      <c r="BQ180" s="41">
        <f>IF(AND($BV$188&gt;=BR180,$BX$192&lt;=10000000),1,(IF(AND($BV$188&gt;=BR180,$BX$192&gt;10000000,$BX$192&lt;=20000000),2,(IF(AND($BV$188&gt;=BR180,$BX$192&gt;20000000),3,0)))))</f>
        <v>0</v>
      </c>
      <c r="BR180" s="87">
        <v>10000000</v>
      </c>
      <c r="BS180" s="87"/>
      <c r="BT180" s="87"/>
      <c r="BU180" s="79" t="s">
        <v>37</v>
      </c>
      <c r="BV180" s="87"/>
      <c r="BW180" s="87"/>
      <c r="BX180" s="87"/>
      <c r="BY180" s="88">
        <f>IF(BQ180=1,BV188-1955000,IF(BQ180=2,BV188-1855000,IF(BQ180=3,BV188-1755000,0)))</f>
        <v>0</v>
      </c>
      <c r="BZ180" s="88"/>
      <c r="CA180" s="88"/>
    </row>
    <row r="181" spans="45:79" x14ac:dyDescent="0.15">
      <c r="AS181" s="41">
        <f t="shared" si="39"/>
        <v>0</v>
      </c>
      <c r="AT181" s="87">
        <v>1624000</v>
      </c>
      <c r="AU181" s="87"/>
      <c r="AV181" s="87"/>
      <c r="AW181" s="79" t="s">
        <v>37</v>
      </c>
      <c r="AX181" s="87">
        <v>1627999</v>
      </c>
      <c r="AY181" s="87"/>
      <c r="AZ181" s="87"/>
      <c r="BA181" s="88">
        <f>IF(AS181=1,1074000,0)</f>
        <v>0</v>
      </c>
      <c r="BB181" s="88"/>
      <c r="BC181" s="88"/>
      <c r="BE181" s="41"/>
      <c r="BF181" s="87"/>
      <c r="BG181" s="87"/>
      <c r="BH181" s="87"/>
      <c r="BI181" s="79" t="s">
        <v>37</v>
      </c>
      <c r="BJ181" s="87"/>
      <c r="BK181" s="87"/>
      <c r="BL181" s="87"/>
      <c r="BM181" s="88"/>
      <c r="BN181" s="88"/>
      <c r="BO181" s="88"/>
      <c r="BP181" s="49"/>
      <c r="BQ181" s="41"/>
      <c r="BR181" s="87"/>
      <c r="BS181" s="87"/>
      <c r="BT181" s="87"/>
      <c r="BU181" s="79" t="s">
        <v>37</v>
      </c>
      <c r="BV181" s="87"/>
      <c r="BW181" s="87"/>
      <c r="BX181" s="87"/>
      <c r="BY181" s="88"/>
      <c r="BZ181" s="88"/>
      <c r="CA181" s="88"/>
    </row>
    <row r="182" spans="45:79" x14ac:dyDescent="0.15">
      <c r="AS182" s="41">
        <f t="shared" si="39"/>
        <v>0</v>
      </c>
      <c r="AT182" s="87">
        <v>1628000</v>
      </c>
      <c r="AU182" s="87"/>
      <c r="AV182" s="87"/>
      <c r="AW182" s="79" t="s">
        <v>37</v>
      </c>
      <c r="AX182" s="87">
        <v>1799999</v>
      </c>
      <c r="AY182" s="87"/>
      <c r="AZ182" s="87"/>
      <c r="BA182" s="88">
        <f>IF(AS182=1,ROUNDDOWN(AX188/4,-3)*2.4+100000,0)</f>
        <v>0</v>
      </c>
      <c r="BB182" s="88"/>
      <c r="BC182" s="88"/>
      <c r="BE182" s="41"/>
      <c r="BF182" s="87"/>
      <c r="BG182" s="87"/>
      <c r="BH182" s="87"/>
      <c r="BI182" s="79" t="s">
        <v>37</v>
      </c>
      <c r="BJ182" s="87"/>
      <c r="BK182" s="87"/>
      <c r="BL182" s="87"/>
      <c r="BM182" s="88"/>
      <c r="BN182" s="88"/>
      <c r="BO182" s="88"/>
      <c r="BP182" s="49"/>
      <c r="BQ182" s="41"/>
      <c r="BR182" s="87"/>
      <c r="BS182" s="87"/>
      <c r="BT182" s="87"/>
      <c r="BU182" s="79" t="s">
        <v>37</v>
      </c>
      <c r="BV182" s="87"/>
      <c r="BW182" s="87"/>
      <c r="BX182" s="87"/>
      <c r="BY182" s="88"/>
      <c r="BZ182" s="88"/>
      <c r="CA182" s="88"/>
    </row>
    <row r="183" spans="45:79" x14ac:dyDescent="0.15">
      <c r="AS183" s="41">
        <f t="shared" si="39"/>
        <v>0</v>
      </c>
      <c r="AT183" s="87">
        <v>1800000</v>
      </c>
      <c r="AU183" s="87"/>
      <c r="AV183" s="87"/>
      <c r="AW183" s="79" t="s">
        <v>37</v>
      </c>
      <c r="AX183" s="87">
        <v>3599999</v>
      </c>
      <c r="AY183" s="87"/>
      <c r="AZ183" s="87"/>
      <c r="BA183" s="88">
        <f>IF(AS183=1,ROUNDDOWN(AX188/4,-3)*2.8-80000,0)</f>
        <v>0</v>
      </c>
      <c r="BB183" s="88"/>
      <c r="BC183" s="88"/>
      <c r="BE183" s="41"/>
      <c r="BF183" s="87"/>
      <c r="BG183" s="87"/>
      <c r="BH183" s="87"/>
      <c r="BI183" s="79" t="s">
        <v>37</v>
      </c>
      <c r="BJ183" s="87"/>
      <c r="BK183" s="87"/>
      <c r="BL183" s="87"/>
      <c r="BM183" s="88"/>
      <c r="BN183" s="88"/>
      <c r="BO183" s="88"/>
      <c r="BP183" s="49"/>
      <c r="BQ183" s="41"/>
      <c r="BR183" s="87"/>
      <c r="BS183" s="87"/>
      <c r="BT183" s="87"/>
      <c r="BU183" s="79" t="s">
        <v>37</v>
      </c>
      <c r="BV183" s="87"/>
      <c r="BW183" s="87"/>
      <c r="BX183" s="87"/>
      <c r="BY183" s="88"/>
      <c r="BZ183" s="88"/>
      <c r="CA183" s="88"/>
    </row>
    <row r="184" spans="45:79" x14ac:dyDescent="0.15">
      <c r="AS184" s="41">
        <f t="shared" si="39"/>
        <v>0</v>
      </c>
      <c r="AT184" s="87">
        <v>3600000</v>
      </c>
      <c r="AU184" s="87"/>
      <c r="AV184" s="87"/>
      <c r="AW184" s="79" t="s">
        <v>37</v>
      </c>
      <c r="AX184" s="87">
        <v>6599999</v>
      </c>
      <c r="AY184" s="87"/>
      <c r="AZ184" s="87"/>
      <c r="BA184" s="88">
        <f>IF(AS184=1,ROUNDDOWN(AX188/4,-3)*3.2-440000,0)</f>
        <v>0</v>
      </c>
      <c r="BB184" s="88"/>
      <c r="BC184" s="88"/>
      <c r="BE184" s="41"/>
      <c r="BF184" s="87"/>
      <c r="BG184" s="87"/>
      <c r="BH184" s="87"/>
      <c r="BI184" s="79" t="s">
        <v>37</v>
      </c>
      <c r="BJ184" s="87"/>
      <c r="BK184" s="87"/>
      <c r="BL184" s="87"/>
      <c r="BM184" s="88"/>
      <c r="BN184" s="88"/>
      <c r="BO184" s="88"/>
      <c r="BP184" s="49"/>
      <c r="BQ184" s="41"/>
      <c r="BR184" s="87"/>
      <c r="BS184" s="87"/>
      <c r="BT184" s="87"/>
      <c r="BU184" s="79" t="s">
        <v>37</v>
      </c>
      <c r="BV184" s="87"/>
      <c r="BW184" s="87"/>
      <c r="BX184" s="87"/>
      <c r="BY184" s="88"/>
      <c r="BZ184" s="88"/>
      <c r="CA184" s="88"/>
    </row>
    <row r="185" spans="45:79" x14ac:dyDescent="0.15">
      <c r="AS185" s="41">
        <f>IF(AND($AX$188&gt;=AT185,$AX$188&lt;=AX185),1,0)</f>
        <v>0</v>
      </c>
      <c r="AT185" s="87">
        <v>6600000</v>
      </c>
      <c r="AU185" s="87"/>
      <c r="AV185" s="87"/>
      <c r="AW185" s="79" t="s">
        <v>37</v>
      </c>
      <c r="AX185" s="87">
        <v>8499999</v>
      </c>
      <c r="AY185" s="87"/>
      <c r="AZ185" s="87"/>
      <c r="BA185" s="88">
        <f>IF(AS185=1,AX188*0.9-1100000,0)</f>
        <v>0</v>
      </c>
      <c r="BB185" s="88"/>
      <c r="BC185" s="88"/>
      <c r="BE185" s="41"/>
      <c r="BF185" s="87"/>
      <c r="BG185" s="87"/>
      <c r="BH185" s="87"/>
      <c r="BI185" s="79" t="s">
        <v>37</v>
      </c>
      <c r="BJ185" s="87"/>
      <c r="BK185" s="87"/>
      <c r="BL185" s="87"/>
      <c r="BM185" s="88"/>
      <c r="BN185" s="88"/>
      <c r="BO185" s="88"/>
      <c r="BP185" s="49"/>
      <c r="BQ185" s="41"/>
      <c r="BR185" s="87"/>
      <c r="BS185" s="87"/>
      <c r="BT185" s="87"/>
      <c r="BU185" s="79" t="s">
        <v>37</v>
      </c>
      <c r="BV185" s="87"/>
      <c r="BW185" s="87"/>
      <c r="BX185" s="87"/>
      <c r="BY185" s="88"/>
      <c r="BZ185" s="88"/>
      <c r="CA185" s="88"/>
    </row>
    <row r="186" spans="45:79" x14ac:dyDescent="0.15">
      <c r="AS186" s="41">
        <f>IF($AX$188&gt;=AT186,1,0)</f>
        <v>0</v>
      </c>
      <c r="AT186" s="87">
        <v>8500000</v>
      </c>
      <c r="AU186" s="87"/>
      <c r="AV186" s="87"/>
      <c r="AW186" s="79" t="s">
        <v>37</v>
      </c>
      <c r="AX186" s="87"/>
      <c r="AY186" s="87"/>
      <c r="AZ186" s="87"/>
      <c r="BA186" s="88">
        <f>IF(AS186=1,AX188-1950000,0)</f>
        <v>0</v>
      </c>
      <c r="BB186" s="88"/>
      <c r="BC186" s="88"/>
      <c r="BE186" s="41"/>
      <c r="BF186" s="87"/>
      <c r="BG186" s="87"/>
      <c r="BH186" s="87"/>
      <c r="BI186" s="79" t="s">
        <v>37</v>
      </c>
      <c r="BJ186" s="87"/>
      <c r="BK186" s="87"/>
      <c r="BL186" s="87"/>
      <c r="BM186" s="88"/>
      <c r="BN186" s="88"/>
      <c r="BO186" s="88"/>
      <c r="BP186" s="49"/>
      <c r="BQ186" s="41"/>
      <c r="BR186" s="87"/>
      <c r="BS186" s="87"/>
      <c r="BT186" s="87"/>
      <c r="BU186" s="79" t="s">
        <v>37</v>
      </c>
      <c r="BV186" s="87"/>
      <c r="BW186" s="87"/>
      <c r="BX186" s="87"/>
      <c r="BY186" s="88"/>
      <c r="BZ186" s="88"/>
      <c r="CA186" s="88"/>
    </row>
    <row r="187" spans="45:79" x14ac:dyDescent="0.15">
      <c r="AS187" s="78"/>
      <c r="AT187" s="46"/>
      <c r="AU187" s="46"/>
      <c r="AV187" s="46"/>
      <c r="AW187" s="78"/>
      <c r="AX187" s="38"/>
      <c r="AY187" s="38"/>
      <c r="AZ187" s="38"/>
      <c r="BA187" s="43"/>
      <c r="BB187" s="43"/>
      <c r="BC187" s="43"/>
      <c r="BE187" s="78"/>
      <c r="BF187" s="46"/>
      <c r="BG187" s="46"/>
      <c r="BH187" s="46"/>
      <c r="BI187" s="78"/>
      <c r="BJ187" s="38"/>
      <c r="BK187" s="38"/>
      <c r="BL187" s="38"/>
      <c r="BM187" s="43"/>
      <c r="BN187" s="43"/>
      <c r="BO187" s="43"/>
      <c r="BP187" s="43"/>
      <c r="BQ187" s="78"/>
      <c r="BR187" s="46"/>
      <c r="BS187" s="46"/>
      <c r="BT187" s="46"/>
      <c r="BU187" s="78"/>
      <c r="BV187" s="38"/>
      <c r="BW187" s="38"/>
      <c r="BX187" s="38"/>
      <c r="BY187" s="43"/>
      <c r="BZ187" s="43"/>
      <c r="CA187" s="43"/>
    </row>
    <row r="188" spans="45:79" x14ac:dyDescent="0.15">
      <c r="AS188" s="78"/>
      <c r="AT188" s="104" t="s">
        <v>31</v>
      </c>
      <c r="AU188" s="104"/>
      <c r="AV188" s="104"/>
      <c r="AW188" s="104"/>
      <c r="AX188" s="105">
        <f>F27</f>
        <v>0</v>
      </c>
      <c r="AY188" s="106"/>
      <c r="AZ188" s="107"/>
      <c r="BA188" s="44"/>
      <c r="BB188" s="45"/>
      <c r="BC188" s="45"/>
      <c r="BE188" s="78"/>
      <c r="BF188" s="104" t="s">
        <v>43</v>
      </c>
      <c r="BG188" s="104"/>
      <c r="BH188" s="104"/>
      <c r="BI188" s="104"/>
      <c r="BJ188" s="108">
        <f>J27</f>
        <v>0</v>
      </c>
      <c r="BK188" s="108"/>
      <c r="BL188" s="108"/>
      <c r="BM188" s="44"/>
      <c r="BN188" s="45"/>
      <c r="BO188" s="45"/>
      <c r="BP188" s="45"/>
      <c r="BQ188" s="78"/>
      <c r="BR188" s="104" t="s">
        <v>43</v>
      </c>
      <c r="BS188" s="104"/>
      <c r="BT188" s="104"/>
      <c r="BU188" s="104"/>
      <c r="BV188" s="108">
        <f>BJ188</f>
        <v>0</v>
      </c>
      <c r="BW188" s="108"/>
      <c r="BX188" s="108"/>
      <c r="BY188" s="44"/>
      <c r="BZ188" s="45"/>
      <c r="CA188" s="45"/>
    </row>
    <row r="189" spans="45:79" x14ac:dyDescent="0.15">
      <c r="AT189" s="104" t="s">
        <v>42</v>
      </c>
      <c r="AU189" s="104"/>
      <c r="AV189" s="104"/>
      <c r="AW189" s="104"/>
      <c r="AX189" s="119">
        <f>SUM(BA176:BC186)</f>
        <v>0</v>
      </c>
      <c r="AY189" s="112"/>
      <c r="AZ189" s="112"/>
      <c r="BF189" s="104" t="s">
        <v>44</v>
      </c>
      <c r="BG189" s="104"/>
      <c r="BH189" s="104"/>
      <c r="BI189" s="104"/>
      <c r="BJ189" s="119">
        <f>SUM(BM176:BO186)</f>
        <v>0</v>
      </c>
      <c r="BK189" s="112"/>
      <c r="BL189" s="112"/>
      <c r="BM189" s="65">
        <f>IF(D27&lt;65,1,0)</f>
        <v>1</v>
      </c>
      <c r="BR189" s="104" t="s">
        <v>44</v>
      </c>
      <c r="BS189" s="104"/>
      <c r="BT189" s="104"/>
      <c r="BU189" s="104"/>
      <c r="BV189" s="119">
        <f>SUM(BY176:CA186)</f>
        <v>0</v>
      </c>
      <c r="BW189" s="112"/>
      <c r="BX189" s="112"/>
      <c r="BY189" s="65">
        <f>IF(D27&lt;65,0,1)</f>
        <v>0</v>
      </c>
    </row>
    <row r="190" spans="45:79" x14ac:dyDescent="0.15">
      <c r="BJ190" s="47"/>
      <c r="BK190" s="47"/>
      <c r="BL190" s="47"/>
      <c r="BV190" s="47"/>
      <c r="BW190" s="47"/>
      <c r="BX190" s="47"/>
    </row>
    <row r="191" spans="45:79" x14ac:dyDescent="0.15">
      <c r="BE191" s="112" t="s">
        <v>45</v>
      </c>
      <c r="BF191" s="112"/>
      <c r="BG191" s="112"/>
      <c r="BH191" s="112"/>
      <c r="BI191" s="112"/>
      <c r="BJ191" s="112"/>
      <c r="BK191" s="112"/>
      <c r="BL191" s="112"/>
      <c r="BM191" s="112"/>
      <c r="BN191" s="112"/>
      <c r="BO191" s="112"/>
      <c r="BP191" s="69"/>
      <c r="BQ191" s="112" t="s">
        <v>45</v>
      </c>
      <c r="BR191" s="112"/>
      <c r="BS191" s="112"/>
      <c r="BT191" s="112"/>
      <c r="BU191" s="112"/>
      <c r="BV191" s="112"/>
      <c r="BW191" s="112"/>
      <c r="BX191" s="112"/>
      <c r="BY191" s="112"/>
      <c r="BZ191" s="112"/>
      <c r="CA191" s="112"/>
    </row>
    <row r="192" spans="45:79" x14ac:dyDescent="0.15">
      <c r="BL192" s="118">
        <f>V27</f>
        <v>0</v>
      </c>
      <c r="BM192" s="118"/>
      <c r="BN192" s="118"/>
      <c r="BO192" s="118"/>
      <c r="BP192" s="50"/>
      <c r="BX192" s="118">
        <f>BL192</f>
        <v>0</v>
      </c>
      <c r="BY192" s="118"/>
      <c r="BZ192" s="118"/>
      <c r="CA192" s="118"/>
    </row>
    <row r="193" spans="45:79" x14ac:dyDescent="0.15">
      <c r="AT193" t="s">
        <v>80</v>
      </c>
    </row>
    <row r="194" spans="45:79" x14ac:dyDescent="0.15">
      <c r="AT194" s="112" t="s">
        <v>42</v>
      </c>
      <c r="AU194" s="112"/>
      <c r="AV194" s="112"/>
      <c r="AW194" s="112"/>
      <c r="AX194" s="119">
        <f>AX189</f>
        <v>0</v>
      </c>
      <c r="AY194" s="112"/>
      <c r="AZ194" s="112"/>
      <c r="BB194" t="s">
        <v>87</v>
      </c>
    </row>
    <row r="195" spans="45:79" x14ac:dyDescent="0.15">
      <c r="AT195" s="112" t="s">
        <v>48</v>
      </c>
      <c r="AU195" s="112"/>
      <c r="AV195" s="112"/>
      <c r="AW195" s="112"/>
      <c r="AX195" s="143">
        <f>IF(BM189=1,BJ189,IF(BY189=1,BV189,0))</f>
        <v>0</v>
      </c>
      <c r="AY195" s="143"/>
      <c r="AZ195" s="143"/>
      <c r="BB195" t="s">
        <v>86</v>
      </c>
    </row>
    <row r="196" spans="45:79" x14ac:dyDescent="0.15">
      <c r="AT196" s="112" t="s">
        <v>49</v>
      </c>
      <c r="AU196" s="112"/>
      <c r="AV196" s="112"/>
      <c r="AW196" s="112"/>
      <c r="AX196" s="119">
        <f>SUM(AX194:AZ195)+IF((AND(AX194&gt;0,AX195&gt;0,(AX194+AX195)&gt;100000)),-100000,0)</f>
        <v>0</v>
      </c>
      <c r="AY196" s="112"/>
      <c r="AZ196" s="112"/>
      <c r="BB196" t="s">
        <v>70</v>
      </c>
      <c r="BP196" s="70"/>
    </row>
    <row r="198" spans="45:79" x14ac:dyDescent="0.15">
      <c r="AT198" s="112" t="s">
        <v>66</v>
      </c>
      <c r="AU198" s="112"/>
      <c r="AV198" s="112"/>
      <c r="AW198" s="112"/>
      <c r="AX198" s="143">
        <f>MAX(IF(BM189=1,BJ189,IF(BY189=1,BV189-150000,0)),0)</f>
        <v>0</v>
      </c>
      <c r="AY198" s="143"/>
      <c r="AZ198" s="143"/>
    </row>
    <row r="200" spans="45:79" x14ac:dyDescent="0.15">
      <c r="AS200" s="93" t="s">
        <v>36</v>
      </c>
      <c r="AT200" s="94"/>
      <c r="AU200" s="94"/>
      <c r="AV200" s="94"/>
      <c r="AW200" s="94"/>
      <c r="AX200" s="94"/>
      <c r="AY200" s="94"/>
      <c r="AZ200" s="94"/>
      <c r="BA200" s="94"/>
      <c r="BB200" s="94"/>
      <c r="BC200" s="95"/>
      <c r="BE200" s="51"/>
      <c r="BF200" s="93" t="s">
        <v>47</v>
      </c>
      <c r="BG200" s="94"/>
      <c r="BH200" s="94"/>
      <c r="BI200" s="94"/>
      <c r="BJ200" s="94"/>
      <c r="BK200" s="94"/>
      <c r="BL200" s="94"/>
      <c r="BM200" s="94"/>
      <c r="BN200" s="94"/>
      <c r="BO200" s="95"/>
      <c r="BP200" s="69"/>
      <c r="BQ200" s="51"/>
      <c r="BR200" s="93" t="s">
        <v>46</v>
      </c>
      <c r="BS200" s="94"/>
      <c r="BT200" s="94"/>
      <c r="BU200" s="94"/>
      <c r="BV200" s="94"/>
      <c r="BW200" s="94"/>
      <c r="BX200" s="94"/>
      <c r="BY200" s="94"/>
      <c r="BZ200" s="94"/>
      <c r="CA200" s="95"/>
    </row>
    <row r="201" spans="45:79" x14ac:dyDescent="0.15">
      <c r="AS201" s="91"/>
      <c r="AT201" s="89" t="s">
        <v>38</v>
      </c>
      <c r="AU201" s="89"/>
      <c r="AV201" s="89"/>
      <c r="AW201" s="89"/>
      <c r="AX201" s="89"/>
      <c r="AY201" s="89"/>
      <c r="AZ201" s="89"/>
      <c r="BA201" s="89" t="s">
        <v>39</v>
      </c>
      <c r="BB201" s="89"/>
      <c r="BC201" s="89"/>
      <c r="BE201" s="91"/>
      <c r="BF201" s="89" t="s">
        <v>38</v>
      </c>
      <c r="BG201" s="89"/>
      <c r="BH201" s="89"/>
      <c r="BI201" s="89"/>
      <c r="BJ201" s="89"/>
      <c r="BK201" s="89"/>
      <c r="BL201" s="89"/>
      <c r="BM201" s="89" t="s">
        <v>39</v>
      </c>
      <c r="BN201" s="89"/>
      <c r="BO201" s="89"/>
      <c r="BP201" s="48"/>
      <c r="BQ201" s="91"/>
      <c r="BR201" s="89" t="s">
        <v>38</v>
      </c>
      <c r="BS201" s="89"/>
      <c r="BT201" s="89"/>
      <c r="BU201" s="89"/>
      <c r="BV201" s="89"/>
      <c r="BW201" s="89"/>
      <c r="BX201" s="89"/>
      <c r="BY201" s="89" t="s">
        <v>39</v>
      </c>
      <c r="BZ201" s="89"/>
      <c r="CA201" s="89"/>
    </row>
    <row r="202" spans="45:79" x14ac:dyDescent="0.15">
      <c r="AS202" s="92"/>
      <c r="AT202" s="90"/>
      <c r="AU202" s="90"/>
      <c r="AV202" s="90"/>
      <c r="AW202" s="90"/>
      <c r="AX202" s="90"/>
      <c r="AY202" s="90"/>
      <c r="AZ202" s="90"/>
      <c r="BA202" s="90"/>
      <c r="BB202" s="90"/>
      <c r="BC202" s="90"/>
      <c r="BE202" s="92"/>
      <c r="BF202" s="90"/>
      <c r="BG202" s="90"/>
      <c r="BH202" s="90"/>
      <c r="BI202" s="90"/>
      <c r="BJ202" s="90"/>
      <c r="BK202" s="90"/>
      <c r="BL202" s="90"/>
      <c r="BM202" s="90"/>
      <c r="BN202" s="90"/>
      <c r="BO202" s="90"/>
      <c r="BP202" s="77"/>
      <c r="BQ202" s="92"/>
      <c r="BR202" s="90"/>
      <c r="BS202" s="90"/>
      <c r="BT202" s="90"/>
      <c r="BU202" s="90"/>
      <c r="BV202" s="90"/>
      <c r="BW202" s="90"/>
      <c r="BX202" s="90"/>
      <c r="BY202" s="90"/>
      <c r="BZ202" s="90"/>
      <c r="CA202" s="90"/>
    </row>
    <row r="203" spans="45:79" x14ac:dyDescent="0.15">
      <c r="AS203" s="41">
        <f t="shared" ref="AS203:AS212" si="42">IF(AND($AX$215&gt;=AT203,$AX$215&lt;=AX203),1,0)</f>
        <v>1</v>
      </c>
      <c r="AT203" s="87">
        <v>0</v>
      </c>
      <c r="AU203" s="87"/>
      <c r="AV203" s="87"/>
      <c r="AW203" s="79" t="s">
        <v>37</v>
      </c>
      <c r="AX203" s="87">
        <v>550999</v>
      </c>
      <c r="AY203" s="87"/>
      <c r="AZ203" s="87"/>
      <c r="BA203" s="88">
        <f>IF(AS203=1,0,0)</f>
        <v>0</v>
      </c>
      <c r="BB203" s="88"/>
      <c r="BC203" s="88"/>
      <c r="BE203" s="41">
        <f>IF(AND($BJ$215&gt;=BF203,$BJ$215&lt;=BJ203,$BL$219&lt;=10000000),1,(IF(AND($BJ$215&gt;=BF203,$BJ$215&lt;=BJ203,$BL$219&gt;10000000,$BL$219&lt;=20000000),2,(IF(AND($BJ$215&gt;=BF203,$BJ$215&lt;=BJ203,$BL$219&gt;20000000),3,0)))))</f>
        <v>1</v>
      </c>
      <c r="BF203" s="87">
        <v>0</v>
      </c>
      <c r="BG203" s="87"/>
      <c r="BH203" s="87"/>
      <c r="BI203" s="79" t="s">
        <v>37</v>
      </c>
      <c r="BJ203" s="87">
        <v>1299999</v>
      </c>
      <c r="BK203" s="87"/>
      <c r="BL203" s="87"/>
      <c r="BM203" s="88">
        <f>MAX(IF(BE203=1,BJ215-600000,IF(BE203=2,BJ215-500000,IF(BE203=3,BJ215-400000,0))),)</f>
        <v>0</v>
      </c>
      <c r="BN203" s="88"/>
      <c r="BO203" s="88"/>
      <c r="BP203" s="49"/>
      <c r="BQ203" s="41">
        <f>IF(AND($BV$215&gt;=BR203,$BV$215&lt;=BV203,$BX$219&lt;=10000000),1,(IF(AND($BV$215&gt;=BR203,$BV$215&lt;=BV203,$BX$219&gt;10000000,$BX$219&lt;=20000000),2,(IF(AND($BV$215&gt;=BR203,$BV$215&lt;=BV203,$BX$219&gt;20000000),3,0)))))</f>
        <v>1</v>
      </c>
      <c r="BR203" s="87">
        <v>0</v>
      </c>
      <c r="BS203" s="87"/>
      <c r="BT203" s="87"/>
      <c r="BU203" s="79" t="s">
        <v>37</v>
      </c>
      <c r="BV203" s="87">
        <v>3299999</v>
      </c>
      <c r="BW203" s="87"/>
      <c r="BX203" s="87"/>
      <c r="BY203" s="88">
        <f>MAX(IF(BQ203=1,BV215-1100000,IF(BQ203=2,BV215-1000000,IF(BQ203=3,BV215-900000,0))),)</f>
        <v>0</v>
      </c>
      <c r="BZ203" s="88"/>
      <c r="CA203" s="88"/>
    </row>
    <row r="204" spans="45:79" x14ac:dyDescent="0.15">
      <c r="AS204" s="41">
        <f t="shared" si="42"/>
        <v>0</v>
      </c>
      <c r="AT204" s="87">
        <v>551000</v>
      </c>
      <c r="AU204" s="87"/>
      <c r="AV204" s="87"/>
      <c r="AW204" s="79" t="s">
        <v>37</v>
      </c>
      <c r="AX204" s="87">
        <v>1618999</v>
      </c>
      <c r="AY204" s="87"/>
      <c r="AZ204" s="87"/>
      <c r="BA204" s="88">
        <f>IF(AS204=1,AX215-550000,0)</f>
        <v>0</v>
      </c>
      <c r="BB204" s="88"/>
      <c r="BC204" s="88"/>
      <c r="BE204" s="41">
        <f t="shared" ref="BE204:BE206" si="43">IF(AND($BJ$215&gt;=BF204,$BJ$215&lt;=BJ204,$BL$219&lt;=10000000),1,(IF(AND($BJ$215&gt;=BF204,$BJ$215&lt;=BJ204,$BL$219&gt;10000000,$BL$219&lt;=20000000),2,(IF(AND($BJ$215&gt;=BF204,$BJ$215&lt;=BJ204,$BL$219&gt;20000000),3,0)))))</f>
        <v>0</v>
      </c>
      <c r="BF204" s="87">
        <v>1300000</v>
      </c>
      <c r="BG204" s="87"/>
      <c r="BH204" s="87"/>
      <c r="BI204" s="79" t="s">
        <v>37</v>
      </c>
      <c r="BJ204" s="87">
        <v>4099999</v>
      </c>
      <c r="BK204" s="87"/>
      <c r="BL204" s="87"/>
      <c r="BM204" s="88">
        <f>IF(BE204=1,BJ215*0.75-275000,IF(BE204=2,BJ215*0.75-175000,IF(BE204=3,BJ215*0.75-75000,0)))</f>
        <v>0</v>
      </c>
      <c r="BN204" s="88"/>
      <c r="BO204" s="88"/>
      <c r="BP204" s="49"/>
      <c r="BQ204" s="41">
        <f t="shared" ref="BQ204:BQ206" si="44">IF(AND($BV$215&gt;=BR204,$BV$215&lt;=BV204,$BX$219&lt;=10000000),1,(IF(AND($BV$215&gt;=BR204,$BV$215&lt;=BV204,$BX$219&gt;10000000,$BX$219&lt;=20000000),2,(IF(AND($BV$215&gt;=BR204,$BV$215&lt;=BV204,$BX$219&gt;20000000),3,0)))))</f>
        <v>0</v>
      </c>
      <c r="BR204" s="87">
        <v>3300000</v>
      </c>
      <c r="BS204" s="87"/>
      <c r="BT204" s="87"/>
      <c r="BU204" s="79" t="s">
        <v>37</v>
      </c>
      <c r="BV204" s="87">
        <v>4099999</v>
      </c>
      <c r="BW204" s="87"/>
      <c r="BX204" s="87"/>
      <c r="BY204" s="88">
        <f>IF(BQ204=1,BV215*0.75-275000,IF(BQ204=2,BV215*0.75-175000,IF(BQ204=3,BV215*0.75-75000,0)))</f>
        <v>0</v>
      </c>
      <c r="BZ204" s="88"/>
      <c r="CA204" s="88"/>
    </row>
    <row r="205" spans="45:79" x14ac:dyDescent="0.15">
      <c r="AS205" s="41">
        <f t="shared" si="42"/>
        <v>0</v>
      </c>
      <c r="AT205" s="87">
        <v>1619000</v>
      </c>
      <c r="AU205" s="87"/>
      <c r="AV205" s="87"/>
      <c r="AW205" s="79" t="s">
        <v>37</v>
      </c>
      <c r="AX205" s="87">
        <v>1619999</v>
      </c>
      <c r="AY205" s="87"/>
      <c r="AZ205" s="87"/>
      <c r="BA205" s="88">
        <f>IF(AS205=1,1069000,0)</f>
        <v>0</v>
      </c>
      <c r="BB205" s="88"/>
      <c r="BC205" s="88"/>
      <c r="BE205" s="41">
        <f t="shared" si="43"/>
        <v>0</v>
      </c>
      <c r="BF205" s="87">
        <v>4100000</v>
      </c>
      <c r="BG205" s="87"/>
      <c r="BH205" s="87"/>
      <c r="BI205" s="79" t="s">
        <v>37</v>
      </c>
      <c r="BJ205" s="87">
        <v>7699999</v>
      </c>
      <c r="BK205" s="87"/>
      <c r="BL205" s="87"/>
      <c r="BM205" s="88">
        <f>IF(BE205=1,BJ215*0.85-685000,IF(BE205=2,BJ215*0.85-585000,IF(BE205=3,BJ215*0.85-485000,0)))</f>
        <v>0</v>
      </c>
      <c r="BN205" s="88"/>
      <c r="BO205" s="88"/>
      <c r="BP205" s="49"/>
      <c r="BQ205" s="41">
        <f t="shared" si="44"/>
        <v>0</v>
      </c>
      <c r="BR205" s="87">
        <v>4100000</v>
      </c>
      <c r="BS205" s="87"/>
      <c r="BT205" s="87"/>
      <c r="BU205" s="79" t="s">
        <v>37</v>
      </c>
      <c r="BV205" s="87">
        <v>7699999</v>
      </c>
      <c r="BW205" s="87"/>
      <c r="BX205" s="87"/>
      <c r="BY205" s="88">
        <f>IF(BQ205=1,BV215*0.85-685000,IF(BQ205=2,BV215*0.85-585000,IF(BQ205=3,BV215*0.85-485000,0)))</f>
        <v>0</v>
      </c>
      <c r="BZ205" s="88"/>
      <c r="CA205" s="88"/>
    </row>
    <row r="206" spans="45:79" x14ac:dyDescent="0.15">
      <c r="AS206" s="41">
        <f t="shared" si="42"/>
        <v>0</v>
      </c>
      <c r="AT206" s="87">
        <v>1620000</v>
      </c>
      <c r="AU206" s="87"/>
      <c r="AV206" s="87"/>
      <c r="AW206" s="79" t="s">
        <v>37</v>
      </c>
      <c r="AX206" s="87">
        <v>1621999</v>
      </c>
      <c r="AY206" s="87"/>
      <c r="AZ206" s="87"/>
      <c r="BA206" s="88">
        <f>IF(AS206=1,1070000,0)</f>
        <v>0</v>
      </c>
      <c r="BB206" s="88"/>
      <c r="BC206" s="88"/>
      <c r="BE206" s="41">
        <f t="shared" si="43"/>
        <v>0</v>
      </c>
      <c r="BF206" s="87">
        <v>7700000</v>
      </c>
      <c r="BG206" s="87"/>
      <c r="BH206" s="87"/>
      <c r="BI206" s="79" t="s">
        <v>37</v>
      </c>
      <c r="BJ206" s="87">
        <v>9999999</v>
      </c>
      <c r="BK206" s="87"/>
      <c r="BL206" s="87"/>
      <c r="BM206" s="88">
        <f>IF(BE206=1,BJ215*0.95-1455000,IF(BE206=2,BJ215*0.95-1355000,IF(BE206=3,BJ215*0.95-1255000,0)))</f>
        <v>0</v>
      </c>
      <c r="BN206" s="88"/>
      <c r="BO206" s="88"/>
      <c r="BP206" s="49"/>
      <c r="BQ206" s="41">
        <f t="shared" si="44"/>
        <v>0</v>
      </c>
      <c r="BR206" s="87">
        <v>7700000</v>
      </c>
      <c r="BS206" s="87"/>
      <c r="BT206" s="87"/>
      <c r="BU206" s="79" t="s">
        <v>37</v>
      </c>
      <c r="BV206" s="87">
        <v>9999999</v>
      </c>
      <c r="BW206" s="87"/>
      <c r="BX206" s="87"/>
      <c r="BY206" s="88">
        <f>IF(BQ206=1,BV215*0.95-1455000,IF(BQ206=2,BV215*0.95-1355000,IF(BQ206=3,BV215*0.95-1255000,0)))</f>
        <v>0</v>
      </c>
      <c r="BZ206" s="88"/>
      <c r="CA206" s="88"/>
    </row>
    <row r="207" spans="45:79" x14ac:dyDescent="0.15">
      <c r="AS207" s="41">
        <f t="shared" si="42"/>
        <v>0</v>
      </c>
      <c r="AT207" s="87">
        <v>1622000</v>
      </c>
      <c r="AU207" s="87"/>
      <c r="AV207" s="87"/>
      <c r="AW207" s="79" t="s">
        <v>37</v>
      </c>
      <c r="AX207" s="87">
        <v>1623999</v>
      </c>
      <c r="AY207" s="87"/>
      <c r="AZ207" s="87"/>
      <c r="BA207" s="88">
        <f>IF(AS207=1,1072000,0)</f>
        <v>0</v>
      </c>
      <c r="BB207" s="88"/>
      <c r="BC207" s="88"/>
      <c r="BE207" s="41">
        <f>IF(AND($BJ$215&gt;=BF207,$BL$219&lt;=10000000),1,(IF(AND($BJ$215&gt;=BF207,$BL$219&gt;10000000,$BL$219&lt;=20000000),2,(IF(AND($BJ$215&gt;=BF207,$BL$219&gt;20000000),3,0)))))</f>
        <v>0</v>
      </c>
      <c r="BF207" s="87">
        <v>10000000</v>
      </c>
      <c r="BG207" s="87"/>
      <c r="BH207" s="87"/>
      <c r="BI207" s="79" t="s">
        <v>37</v>
      </c>
      <c r="BJ207" s="87"/>
      <c r="BK207" s="87"/>
      <c r="BL207" s="87"/>
      <c r="BM207" s="88">
        <f>IF(BE207=1,BJ215-1955000,IF(BE207=2,BJ215-1855000,IF(BE207=3,BJ215-1755000,0)))</f>
        <v>0</v>
      </c>
      <c r="BN207" s="88"/>
      <c r="BO207" s="88"/>
      <c r="BP207" s="49"/>
      <c r="BQ207" s="41">
        <f>IF(AND($BV$215&gt;=BR207,$BX$219&lt;=10000000),1,(IF(AND($BV$215&gt;=BR207,$BX$219&gt;10000000,$BX$219&lt;=20000000),2,(IF(AND($BV$215&gt;=BR207,$BX$219&gt;20000000),3,0)))))</f>
        <v>0</v>
      </c>
      <c r="BR207" s="87">
        <v>10000000</v>
      </c>
      <c r="BS207" s="87"/>
      <c r="BT207" s="87"/>
      <c r="BU207" s="79" t="s">
        <v>37</v>
      </c>
      <c r="BV207" s="87"/>
      <c r="BW207" s="87"/>
      <c r="BX207" s="87"/>
      <c r="BY207" s="88">
        <f>IF(BQ207=1,BV215-1955000,IF(BQ207=2,BV215-1855000,IF(BQ207=3,BV215-1755000,0)))</f>
        <v>0</v>
      </c>
      <c r="BZ207" s="88"/>
      <c r="CA207" s="88"/>
    </row>
    <row r="208" spans="45:79" x14ac:dyDescent="0.15">
      <c r="AS208" s="41">
        <f t="shared" si="42"/>
        <v>0</v>
      </c>
      <c r="AT208" s="87">
        <v>1624000</v>
      </c>
      <c r="AU208" s="87"/>
      <c r="AV208" s="87"/>
      <c r="AW208" s="79" t="s">
        <v>37</v>
      </c>
      <c r="AX208" s="87">
        <v>1627999</v>
      </c>
      <c r="AY208" s="87"/>
      <c r="AZ208" s="87"/>
      <c r="BA208" s="88">
        <f>IF(AS208=1,1074000,0)</f>
        <v>0</v>
      </c>
      <c r="BB208" s="88"/>
      <c r="BC208" s="88"/>
      <c r="BE208" s="41"/>
      <c r="BF208" s="87"/>
      <c r="BG208" s="87"/>
      <c r="BH208" s="87"/>
      <c r="BI208" s="79" t="s">
        <v>37</v>
      </c>
      <c r="BJ208" s="87"/>
      <c r="BK208" s="87"/>
      <c r="BL208" s="87"/>
      <c r="BM208" s="88"/>
      <c r="BN208" s="88"/>
      <c r="BO208" s="88"/>
      <c r="BP208" s="49"/>
      <c r="BQ208" s="41"/>
      <c r="BR208" s="87"/>
      <c r="BS208" s="87"/>
      <c r="BT208" s="87"/>
      <c r="BU208" s="79" t="s">
        <v>37</v>
      </c>
      <c r="BV208" s="87"/>
      <c r="BW208" s="87"/>
      <c r="BX208" s="87"/>
      <c r="BY208" s="88"/>
      <c r="BZ208" s="88"/>
      <c r="CA208" s="88"/>
    </row>
    <row r="209" spans="45:79" x14ac:dyDescent="0.15">
      <c r="AS209" s="41">
        <f t="shared" si="42"/>
        <v>0</v>
      </c>
      <c r="AT209" s="87">
        <v>1628000</v>
      </c>
      <c r="AU209" s="87"/>
      <c r="AV209" s="87"/>
      <c r="AW209" s="79" t="s">
        <v>37</v>
      </c>
      <c r="AX209" s="87">
        <v>1799999</v>
      </c>
      <c r="AY209" s="87"/>
      <c r="AZ209" s="87"/>
      <c r="BA209" s="88">
        <f>IF(AS209=1,ROUNDDOWN(AX215/4,-3)*2.4+100000,0)</f>
        <v>0</v>
      </c>
      <c r="BB209" s="88"/>
      <c r="BC209" s="88"/>
      <c r="BE209" s="41"/>
      <c r="BF209" s="87"/>
      <c r="BG209" s="87"/>
      <c r="BH209" s="87"/>
      <c r="BI209" s="79" t="s">
        <v>37</v>
      </c>
      <c r="BJ209" s="87"/>
      <c r="BK209" s="87"/>
      <c r="BL209" s="87"/>
      <c r="BM209" s="88"/>
      <c r="BN209" s="88"/>
      <c r="BO209" s="88"/>
      <c r="BP209" s="49"/>
      <c r="BQ209" s="41"/>
      <c r="BR209" s="87"/>
      <c r="BS209" s="87"/>
      <c r="BT209" s="87"/>
      <c r="BU209" s="79" t="s">
        <v>37</v>
      </c>
      <c r="BV209" s="87"/>
      <c r="BW209" s="87"/>
      <c r="BX209" s="87"/>
      <c r="BY209" s="88"/>
      <c r="BZ209" s="88"/>
      <c r="CA209" s="88"/>
    </row>
    <row r="210" spans="45:79" x14ac:dyDescent="0.15">
      <c r="AS210" s="41">
        <f t="shared" si="42"/>
        <v>0</v>
      </c>
      <c r="AT210" s="87">
        <v>1800000</v>
      </c>
      <c r="AU210" s="87"/>
      <c r="AV210" s="87"/>
      <c r="AW210" s="79" t="s">
        <v>37</v>
      </c>
      <c r="AX210" s="87">
        <v>3599999</v>
      </c>
      <c r="AY210" s="87"/>
      <c r="AZ210" s="87"/>
      <c r="BA210" s="88">
        <f>IF(AS210=1,ROUNDDOWN(AX215/4,-3)*2.8-80000,0)</f>
        <v>0</v>
      </c>
      <c r="BB210" s="88"/>
      <c r="BC210" s="88"/>
      <c r="BE210" s="41"/>
      <c r="BF210" s="87"/>
      <c r="BG210" s="87"/>
      <c r="BH210" s="87"/>
      <c r="BI210" s="79" t="s">
        <v>37</v>
      </c>
      <c r="BJ210" s="87"/>
      <c r="BK210" s="87"/>
      <c r="BL210" s="87"/>
      <c r="BM210" s="88"/>
      <c r="BN210" s="88"/>
      <c r="BO210" s="88"/>
      <c r="BP210" s="49"/>
      <c r="BQ210" s="41"/>
      <c r="BR210" s="87"/>
      <c r="BS210" s="87"/>
      <c r="BT210" s="87"/>
      <c r="BU210" s="79" t="s">
        <v>37</v>
      </c>
      <c r="BV210" s="87"/>
      <c r="BW210" s="87"/>
      <c r="BX210" s="87"/>
      <c r="BY210" s="88"/>
      <c r="BZ210" s="88"/>
      <c r="CA210" s="88"/>
    </row>
    <row r="211" spans="45:79" x14ac:dyDescent="0.15">
      <c r="AS211" s="41">
        <f t="shared" si="42"/>
        <v>0</v>
      </c>
      <c r="AT211" s="87">
        <v>3600000</v>
      </c>
      <c r="AU211" s="87"/>
      <c r="AV211" s="87"/>
      <c r="AW211" s="79" t="s">
        <v>37</v>
      </c>
      <c r="AX211" s="87">
        <v>6599999</v>
      </c>
      <c r="AY211" s="87"/>
      <c r="AZ211" s="87"/>
      <c r="BA211" s="88">
        <f>IF(AS211=1,ROUNDDOWN(AX215/4,-3)*3.2-440000,0)</f>
        <v>0</v>
      </c>
      <c r="BB211" s="88"/>
      <c r="BC211" s="88"/>
      <c r="BE211" s="41"/>
      <c r="BF211" s="87"/>
      <c r="BG211" s="87"/>
      <c r="BH211" s="87"/>
      <c r="BI211" s="79" t="s">
        <v>37</v>
      </c>
      <c r="BJ211" s="87"/>
      <c r="BK211" s="87"/>
      <c r="BL211" s="87"/>
      <c r="BM211" s="88"/>
      <c r="BN211" s="88"/>
      <c r="BO211" s="88"/>
      <c r="BP211" s="49"/>
      <c r="BQ211" s="41"/>
      <c r="BR211" s="87"/>
      <c r="BS211" s="87"/>
      <c r="BT211" s="87"/>
      <c r="BU211" s="79" t="s">
        <v>37</v>
      </c>
      <c r="BV211" s="87"/>
      <c r="BW211" s="87"/>
      <c r="BX211" s="87"/>
      <c r="BY211" s="88"/>
      <c r="BZ211" s="88"/>
      <c r="CA211" s="88"/>
    </row>
    <row r="212" spans="45:79" x14ac:dyDescent="0.15">
      <c r="AS212" s="41">
        <f t="shared" si="42"/>
        <v>0</v>
      </c>
      <c r="AT212" s="87">
        <v>6600000</v>
      </c>
      <c r="AU212" s="87"/>
      <c r="AV212" s="87"/>
      <c r="AW212" s="79" t="s">
        <v>37</v>
      </c>
      <c r="AX212" s="87">
        <v>8499999</v>
      </c>
      <c r="AY212" s="87"/>
      <c r="AZ212" s="87"/>
      <c r="BA212" s="88">
        <f>IF(AS212=1,AX215*0.9-1100000,0)</f>
        <v>0</v>
      </c>
      <c r="BB212" s="88"/>
      <c r="BC212" s="88"/>
      <c r="BE212" s="41"/>
      <c r="BF212" s="87"/>
      <c r="BG212" s="87"/>
      <c r="BH212" s="87"/>
      <c r="BI212" s="79" t="s">
        <v>37</v>
      </c>
      <c r="BJ212" s="87"/>
      <c r="BK212" s="87"/>
      <c r="BL212" s="87"/>
      <c r="BM212" s="88"/>
      <c r="BN212" s="88"/>
      <c r="BO212" s="88"/>
      <c r="BP212" s="49"/>
      <c r="BQ212" s="41"/>
      <c r="BR212" s="87"/>
      <c r="BS212" s="87"/>
      <c r="BT212" s="87"/>
      <c r="BU212" s="79" t="s">
        <v>37</v>
      </c>
      <c r="BV212" s="87"/>
      <c r="BW212" s="87"/>
      <c r="BX212" s="87"/>
      <c r="BY212" s="88"/>
      <c r="BZ212" s="88"/>
      <c r="CA212" s="88"/>
    </row>
    <row r="213" spans="45:79" x14ac:dyDescent="0.15">
      <c r="AS213" s="41">
        <f>IF($AX$215&gt;=AT213,1,0)</f>
        <v>0</v>
      </c>
      <c r="AT213" s="87">
        <v>8500000</v>
      </c>
      <c r="AU213" s="87"/>
      <c r="AV213" s="87"/>
      <c r="AW213" s="79" t="s">
        <v>37</v>
      </c>
      <c r="AX213" s="87"/>
      <c r="AY213" s="87"/>
      <c r="AZ213" s="87"/>
      <c r="BA213" s="88">
        <f>IF(AS213=1,AX215-1950000,0)</f>
        <v>0</v>
      </c>
      <c r="BB213" s="88"/>
      <c r="BC213" s="88"/>
      <c r="BE213" s="41"/>
      <c r="BF213" s="87"/>
      <c r="BG213" s="87"/>
      <c r="BH213" s="87"/>
      <c r="BI213" s="79" t="s">
        <v>37</v>
      </c>
      <c r="BJ213" s="87"/>
      <c r="BK213" s="87"/>
      <c r="BL213" s="87"/>
      <c r="BM213" s="88"/>
      <c r="BN213" s="88"/>
      <c r="BO213" s="88"/>
      <c r="BP213" s="49"/>
      <c r="BQ213" s="41"/>
      <c r="BR213" s="87"/>
      <c r="BS213" s="87"/>
      <c r="BT213" s="87"/>
      <c r="BU213" s="79" t="s">
        <v>37</v>
      </c>
      <c r="BV213" s="87"/>
      <c r="BW213" s="87"/>
      <c r="BX213" s="87"/>
      <c r="BY213" s="88"/>
      <c r="BZ213" s="88"/>
      <c r="CA213" s="88"/>
    </row>
    <row r="214" spans="45:79" x14ac:dyDescent="0.15">
      <c r="AS214" s="78"/>
      <c r="AT214" s="46"/>
      <c r="AU214" s="46"/>
      <c r="AV214" s="46"/>
      <c r="AW214" s="78"/>
      <c r="AX214" s="38"/>
      <c r="AY214" s="38"/>
      <c r="AZ214" s="38"/>
      <c r="BA214" s="43"/>
      <c r="BB214" s="43"/>
      <c r="BC214" s="43"/>
      <c r="BE214" s="78"/>
      <c r="BF214" s="46"/>
      <c r="BG214" s="46"/>
      <c r="BH214" s="46"/>
      <c r="BI214" s="78"/>
      <c r="BJ214" s="38"/>
      <c r="BK214" s="38"/>
      <c r="BL214" s="38"/>
      <c r="BM214" s="43"/>
      <c r="BN214" s="43"/>
      <c r="BO214" s="43"/>
      <c r="BP214" s="43"/>
      <c r="BQ214" s="78"/>
      <c r="BR214" s="46"/>
      <c r="BS214" s="46"/>
      <c r="BT214" s="46"/>
      <c r="BU214" s="78"/>
      <c r="BV214" s="38"/>
      <c r="BW214" s="38"/>
      <c r="BX214" s="38"/>
      <c r="BY214" s="43"/>
      <c r="BZ214" s="43"/>
      <c r="CA214" s="43"/>
    </row>
    <row r="215" spans="45:79" x14ac:dyDescent="0.15">
      <c r="AS215" s="78"/>
      <c r="AT215" s="104" t="s">
        <v>31</v>
      </c>
      <c r="AU215" s="104"/>
      <c r="AV215" s="104"/>
      <c r="AW215" s="104"/>
      <c r="AX215" s="105">
        <f>F28</f>
        <v>0</v>
      </c>
      <c r="AY215" s="106"/>
      <c r="AZ215" s="107"/>
      <c r="BA215" s="44"/>
      <c r="BB215" s="45"/>
      <c r="BC215" s="45"/>
      <c r="BE215" s="78"/>
      <c r="BF215" s="104" t="s">
        <v>43</v>
      </c>
      <c r="BG215" s="104"/>
      <c r="BH215" s="104"/>
      <c r="BI215" s="104"/>
      <c r="BJ215" s="108">
        <f>J28</f>
        <v>0</v>
      </c>
      <c r="BK215" s="108"/>
      <c r="BL215" s="108"/>
      <c r="BM215" s="44"/>
      <c r="BN215" s="45"/>
      <c r="BO215" s="45"/>
      <c r="BP215" s="45"/>
      <c r="BQ215" s="78"/>
      <c r="BR215" s="104" t="s">
        <v>43</v>
      </c>
      <c r="BS215" s="104"/>
      <c r="BT215" s="104"/>
      <c r="BU215" s="104"/>
      <c r="BV215" s="108">
        <f>BJ215</f>
        <v>0</v>
      </c>
      <c r="BW215" s="108"/>
      <c r="BX215" s="108"/>
      <c r="BY215" s="44"/>
      <c r="BZ215" s="45"/>
      <c r="CA215" s="45"/>
    </row>
    <row r="216" spans="45:79" x14ac:dyDescent="0.15">
      <c r="AT216" s="104" t="s">
        <v>42</v>
      </c>
      <c r="AU216" s="104"/>
      <c r="AV216" s="104"/>
      <c r="AW216" s="104"/>
      <c r="AX216" s="119">
        <f>SUM(BA203:BC213)</f>
        <v>0</v>
      </c>
      <c r="AY216" s="112"/>
      <c r="AZ216" s="112"/>
      <c r="BF216" s="104" t="s">
        <v>44</v>
      </c>
      <c r="BG216" s="104"/>
      <c r="BH216" s="104"/>
      <c r="BI216" s="104"/>
      <c r="BJ216" s="119">
        <f>SUM(BM203:BO213)</f>
        <v>0</v>
      </c>
      <c r="BK216" s="112"/>
      <c r="BL216" s="112"/>
      <c r="BM216" s="65">
        <f>IF(D28&lt;65,1,0)</f>
        <v>1</v>
      </c>
      <c r="BR216" s="104" t="s">
        <v>44</v>
      </c>
      <c r="BS216" s="104"/>
      <c r="BT216" s="104"/>
      <c r="BU216" s="104"/>
      <c r="BV216" s="119">
        <f>SUM(BY203:CA213)</f>
        <v>0</v>
      </c>
      <c r="BW216" s="112"/>
      <c r="BX216" s="112"/>
      <c r="BY216" s="65">
        <f>IF(D28&lt;65,0,1)</f>
        <v>0</v>
      </c>
    </row>
    <row r="217" spans="45:79" x14ac:dyDescent="0.15">
      <c r="BJ217" s="47"/>
      <c r="BK217" s="47"/>
      <c r="BL217" s="47"/>
      <c r="BV217" s="47"/>
      <c r="BW217" s="47"/>
      <c r="BX217" s="47"/>
    </row>
    <row r="218" spans="45:79" x14ac:dyDescent="0.15">
      <c r="BE218" s="112" t="s">
        <v>45</v>
      </c>
      <c r="BF218" s="112"/>
      <c r="BG218" s="112"/>
      <c r="BH218" s="112"/>
      <c r="BI218" s="112"/>
      <c r="BJ218" s="112"/>
      <c r="BK218" s="112"/>
      <c r="BL218" s="112"/>
      <c r="BM218" s="112"/>
      <c r="BN218" s="112"/>
      <c r="BO218" s="112"/>
      <c r="BP218" s="69"/>
      <c r="BQ218" s="112" t="s">
        <v>45</v>
      </c>
      <c r="BR218" s="112"/>
      <c r="BS218" s="112"/>
      <c r="BT218" s="112"/>
      <c r="BU218" s="112"/>
      <c r="BV218" s="112"/>
      <c r="BW218" s="112"/>
      <c r="BX218" s="112"/>
      <c r="BY218" s="112"/>
      <c r="BZ218" s="112"/>
      <c r="CA218" s="112"/>
    </row>
    <row r="219" spans="45:79" x14ac:dyDescent="0.15">
      <c r="BL219" s="118">
        <f>V28</f>
        <v>0</v>
      </c>
      <c r="BM219" s="118"/>
      <c r="BN219" s="118"/>
      <c r="BO219" s="118"/>
      <c r="BP219" s="50"/>
      <c r="BX219" s="118">
        <f>BL219</f>
        <v>0</v>
      </c>
      <c r="BY219" s="118"/>
      <c r="BZ219" s="118"/>
      <c r="CA219" s="118"/>
    </row>
    <row r="220" spans="45:79" x14ac:dyDescent="0.15">
      <c r="AT220" t="s">
        <v>81</v>
      </c>
    </row>
    <row r="221" spans="45:79" x14ac:dyDescent="0.15">
      <c r="AT221" s="112" t="s">
        <v>42</v>
      </c>
      <c r="AU221" s="112"/>
      <c r="AV221" s="112"/>
      <c r="AW221" s="112"/>
      <c r="AX221" s="119">
        <f>AX216</f>
        <v>0</v>
      </c>
      <c r="AY221" s="112"/>
      <c r="AZ221" s="112"/>
      <c r="BB221" t="s">
        <v>87</v>
      </c>
    </row>
    <row r="222" spans="45:79" x14ac:dyDescent="0.15">
      <c r="AT222" s="112" t="s">
        <v>48</v>
      </c>
      <c r="AU222" s="112"/>
      <c r="AV222" s="112"/>
      <c r="AW222" s="112"/>
      <c r="AX222" s="143">
        <f>IF(BM216=1,BJ216,IF(BY216=1,BV216,0))</f>
        <v>0</v>
      </c>
      <c r="AY222" s="143"/>
      <c r="AZ222" s="143"/>
      <c r="BB222" t="s">
        <v>86</v>
      </c>
    </row>
    <row r="223" spans="45:79" x14ac:dyDescent="0.15">
      <c r="AT223" s="112" t="s">
        <v>49</v>
      </c>
      <c r="AU223" s="112"/>
      <c r="AV223" s="112"/>
      <c r="AW223" s="112"/>
      <c r="AX223" s="119">
        <f>SUM(AX221:AZ222)+IF((AND(AX221&gt;0,AX222&gt;0,(AX221+AX222)&gt;100000)),-100000,0)</f>
        <v>0</v>
      </c>
      <c r="AY223" s="112"/>
      <c r="AZ223" s="112"/>
      <c r="BB223" t="s">
        <v>70</v>
      </c>
      <c r="BP223" s="70"/>
    </row>
    <row r="225" spans="46:52" x14ac:dyDescent="0.15">
      <c r="AT225" s="112" t="s">
        <v>66</v>
      </c>
      <c r="AU225" s="112"/>
      <c r="AV225" s="112"/>
      <c r="AW225" s="112"/>
      <c r="AX225" s="143">
        <f>MAX(IF(BM216=1,BJ216,IF(BY216=1,BV216-150000,0)),0)</f>
        <v>0</v>
      </c>
      <c r="AY225" s="143"/>
      <c r="AZ225" s="143"/>
    </row>
  </sheetData>
  <sheetProtection algorithmName="SHA-512" hashValue="BsFYO6q9vG0MMU12VZX3FHkiGNJKADUylaW/y7wBor7zXpH0mrUhWxfCHZO2aesW+iYu+JjQzP/tirVe+4Q/tw==" saltValue="w2dX7jOY6h+fyEt3qw6DlQ==" spinCount="100000" sheet="1" objects="1" scenarios="1" selectLockedCells="1"/>
  <mergeCells count="1626">
    <mergeCell ref="AT222:AW222"/>
    <mergeCell ref="AX222:AZ222"/>
    <mergeCell ref="AT223:AW223"/>
    <mergeCell ref="AX223:AZ223"/>
    <mergeCell ref="AT225:AW225"/>
    <mergeCell ref="AX225:AZ225"/>
    <mergeCell ref="BE218:BO218"/>
    <mergeCell ref="BQ218:CA218"/>
    <mergeCell ref="BL219:BO219"/>
    <mergeCell ref="BX219:CA219"/>
    <mergeCell ref="AT221:AW221"/>
    <mergeCell ref="AX221:AZ221"/>
    <mergeCell ref="AT216:AW216"/>
    <mergeCell ref="AX216:AZ216"/>
    <mergeCell ref="BF216:BI216"/>
    <mergeCell ref="BJ216:BL216"/>
    <mergeCell ref="BR216:BU216"/>
    <mergeCell ref="BV216:BX216"/>
    <mergeCell ref="BR213:BT213"/>
    <mergeCell ref="BV213:BX213"/>
    <mergeCell ref="BY213:CA213"/>
    <mergeCell ref="AT215:AW215"/>
    <mergeCell ref="AX215:AZ215"/>
    <mergeCell ref="BF215:BI215"/>
    <mergeCell ref="BJ215:BL215"/>
    <mergeCell ref="BR215:BU215"/>
    <mergeCell ref="BV215:BX215"/>
    <mergeCell ref="AT213:AV213"/>
    <mergeCell ref="AX213:AZ213"/>
    <mergeCell ref="BA213:BC213"/>
    <mergeCell ref="BF213:BH213"/>
    <mergeCell ref="BJ213:BL213"/>
    <mergeCell ref="BM213:BO213"/>
    <mergeCell ref="BY211:CA211"/>
    <mergeCell ref="AT212:AV212"/>
    <mergeCell ref="AX212:AZ212"/>
    <mergeCell ref="BA212:BC212"/>
    <mergeCell ref="BF212:BH212"/>
    <mergeCell ref="BJ212:BL212"/>
    <mergeCell ref="BM212:BO212"/>
    <mergeCell ref="BR212:BT212"/>
    <mergeCell ref="BV212:BX212"/>
    <mergeCell ref="BY212:CA212"/>
    <mergeCell ref="BV210:BX210"/>
    <mergeCell ref="BY210:CA210"/>
    <mergeCell ref="AT211:AV211"/>
    <mergeCell ref="AX211:AZ211"/>
    <mergeCell ref="BA211:BC211"/>
    <mergeCell ref="BF211:BH211"/>
    <mergeCell ref="BJ211:BL211"/>
    <mergeCell ref="BM211:BO211"/>
    <mergeCell ref="BR211:BT211"/>
    <mergeCell ref="BV211:BX211"/>
    <mergeCell ref="BR209:BT209"/>
    <mergeCell ref="BV209:BX209"/>
    <mergeCell ref="BY209:CA209"/>
    <mergeCell ref="AT210:AV210"/>
    <mergeCell ref="AX210:AZ210"/>
    <mergeCell ref="BA210:BC210"/>
    <mergeCell ref="BF210:BH210"/>
    <mergeCell ref="BJ210:BL210"/>
    <mergeCell ref="BM210:BO210"/>
    <mergeCell ref="BR210:BT210"/>
    <mergeCell ref="AT209:AV209"/>
    <mergeCell ref="AX209:AZ209"/>
    <mergeCell ref="BA209:BC209"/>
    <mergeCell ref="BF209:BH209"/>
    <mergeCell ref="BJ209:BL209"/>
    <mergeCell ref="BM209:BO209"/>
    <mergeCell ref="BY207:CA207"/>
    <mergeCell ref="AT208:AV208"/>
    <mergeCell ref="AX208:AZ208"/>
    <mergeCell ref="BA208:BC208"/>
    <mergeCell ref="BF208:BH208"/>
    <mergeCell ref="BJ208:BL208"/>
    <mergeCell ref="BM208:BO208"/>
    <mergeCell ref="BR208:BT208"/>
    <mergeCell ref="BV208:BX208"/>
    <mergeCell ref="BY208:CA208"/>
    <mergeCell ref="BV206:BX206"/>
    <mergeCell ref="BY206:CA206"/>
    <mergeCell ref="AT207:AV207"/>
    <mergeCell ref="AX207:AZ207"/>
    <mergeCell ref="BA207:BC207"/>
    <mergeCell ref="BF207:BH207"/>
    <mergeCell ref="BJ207:BL207"/>
    <mergeCell ref="BM207:BO207"/>
    <mergeCell ref="BR207:BT207"/>
    <mergeCell ref="BV207:BX207"/>
    <mergeCell ref="BR205:BT205"/>
    <mergeCell ref="BV205:BX205"/>
    <mergeCell ref="BY205:CA205"/>
    <mergeCell ref="AT206:AV206"/>
    <mergeCell ref="AX206:AZ206"/>
    <mergeCell ref="BA206:BC206"/>
    <mergeCell ref="BF206:BH206"/>
    <mergeCell ref="BJ206:BL206"/>
    <mergeCell ref="BM206:BO206"/>
    <mergeCell ref="BR206:BT206"/>
    <mergeCell ref="AT205:AV205"/>
    <mergeCell ref="AX205:AZ205"/>
    <mergeCell ref="BA205:BC205"/>
    <mergeCell ref="BF205:BH205"/>
    <mergeCell ref="BJ205:BL205"/>
    <mergeCell ref="BM205:BO205"/>
    <mergeCell ref="BY203:CA203"/>
    <mergeCell ref="AT204:AV204"/>
    <mergeCell ref="AX204:AZ204"/>
    <mergeCell ref="BA204:BC204"/>
    <mergeCell ref="BF204:BH204"/>
    <mergeCell ref="BJ204:BL204"/>
    <mergeCell ref="BM204:BO204"/>
    <mergeCell ref="BR204:BT204"/>
    <mergeCell ref="BV204:BX204"/>
    <mergeCell ref="BY204:CA204"/>
    <mergeCell ref="BR201:BX202"/>
    <mergeCell ref="BY201:CA202"/>
    <mergeCell ref="AT203:AV203"/>
    <mergeCell ref="AX203:AZ203"/>
    <mergeCell ref="BA203:BC203"/>
    <mergeCell ref="BF203:BH203"/>
    <mergeCell ref="BJ203:BL203"/>
    <mergeCell ref="BM203:BO203"/>
    <mergeCell ref="BR203:BT203"/>
    <mergeCell ref="BV203:BX203"/>
    <mergeCell ref="AS200:BC200"/>
    <mergeCell ref="BF200:BO200"/>
    <mergeCell ref="BR200:CA200"/>
    <mergeCell ref="AS201:AS202"/>
    <mergeCell ref="AT201:AZ202"/>
    <mergeCell ref="BA201:BC202"/>
    <mergeCell ref="BE201:BE202"/>
    <mergeCell ref="BF201:BL202"/>
    <mergeCell ref="BM201:BO202"/>
    <mergeCell ref="BQ201:BQ202"/>
    <mergeCell ref="AT195:AW195"/>
    <mergeCell ref="AX195:AZ195"/>
    <mergeCell ref="AT196:AW196"/>
    <mergeCell ref="AX196:AZ196"/>
    <mergeCell ref="AT198:AW198"/>
    <mergeCell ref="AX198:AZ198"/>
    <mergeCell ref="BE191:BO191"/>
    <mergeCell ref="BQ191:CA191"/>
    <mergeCell ref="BL192:BO192"/>
    <mergeCell ref="BX192:CA192"/>
    <mergeCell ref="AT194:AW194"/>
    <mergeCell ref="AX194:AZ194"/>
    <mergeCell ref="AT189:AW189"/>
    <mergeCell ref="AX189:AZ189"/>
    <mergeCell ref="BF189:BI189"/>
    <mergeCell ref="BJ189:BL189"/>
    <mergeCell ref="BR189:BU189"/>
    <mergeCell ref="BV189:BX189"/>
    <mergeCell ref="BR186:BT186"/>
    <mergeCell ref="BV186:BX186"/>
    <mergeCell ref="BY186:CA186"/>
    <mergeCell ref="AT188:AW188"/>
    <mergeCell ref="AX188:AZ188"/>
    <mergeCell ref="BF188:BI188"/>
    <mergeCell ref="BJ188:BL188"/>
    <mergeCell ref="BR188:BU188"/>
    <mergeCell ref="BV188:BX188"/>
    <mergeCell ref="AT186:AV186"/>
    <mergeCell ref="AX186:AZ186"/>
    <mergeCell ref="BA186:BC186"/>
    <mergeCell ref="BF186:BH186"/>
    <mergeCell ref="BJ186:BL186"/>
    <mergeCell ref="BM186:BO186"/>
    <mergeCell ref="BY184:CA184"/>
    <mergeCell ref="AT185:AV185"/>
    <mergeCell ref="AX185:AZ185"/>
    <mergeCell ref="BA185:BC185"/>
    <mergeCell ref="BF185:BH185"/>
    <mergeCell ref="BJ185:BL185"/>
    <mergeCell ref="BM185:BO185"/>
    <mergeCell ref="BR185:BT185"/>
    <mergeCell ref="BV185:BX185"/>
    <mergeCell ref="BY185:CA185"/>
    <mergeCell ref="BV183:BX183"/>
    <mergeCell ref="BY183:CA183"/>
    <mergeCell ref="AT184:AV184"/>
    <mergeCell ref="AX184:AZ184"/>
    <mergeCell ref="BA184:BC184"/>
    <mergeCell ref="BF184:BH184"/>
    <mergeCell ref="BJ184:BL184"/>
    <mergeCell ref="BM184:BO184"/>
    <mergeCell ref="BR184:BT184"/>
    <mergeCell ref="BV184:BX184"/>
    <mergeCell ref="BR182:BT182"/>
    <mergeCell ref="BV182:BX182"/>
    <mergeCell ref="BY182:CA182"/>
    <mergeCell ref="AT183:AV183"/>
    <mergeCell ref="AX183:AZ183"/>
    <mergeCell ref="BA183:BC183"/>
    <mergeCell ref="BF183:BH183"/>
    <mergeCell ref="BJ183:BL183"/>
    <mergeCell ref="BM183:BO183"/>
    <mergeCell ref="BR183:BT183"/>
    <mergeCell ref="AT182:AV182"/>
    <mergeCell ref="AX182:AZ182"/>
    <mergeCell ref="BA182:BC182"/>
    <mergeCell ref="BF182:BH182"/>
    <mergeCell ref="BJ182:BL182"/>
    <mergeCell ref="BM182:BO182"/>
    <mergeCell ref="BY180:CA180"/>
    <mergeCell ref="AT181:AV181"/>
    <mergeCell ref="AX181:AZ181"/>
    <mergeCell ref="BA181:BC181"/>
    <mergeCell ref="BF181:BH181"/>
    <mergeCell ref="BJ181:BL181"/>
    <mergeCell ref="BM181:BO181"/>
    <mergeCell ref="BR181:BT181"/>
    <mergeCell ref="BV181:BX181"/>
    <mergeCell ref="BY181:CA181"/>
    <mergeCell ref="BV179:BX179"/>
    <mergeCell ref="BY179:CA179"/>
    <mergeCell ref="AT180:AV180"/>
    <mergeCell ref="AX180:AZ180"/>
    <mergeCell ref="BA180:BC180"/>
    <mergeCell ref="BF180:BH180"/>
    <mergeCell ref="BJ180:BL180"/>
    <mergeCell ref="BM180:BO180"/>
    <mergeCell ref="BR180:BT180"/>
    <mergeCell ref="BV180:BX180"/>
    <mergeCell ref="BR178:BT178"/>
    <mergeCell ref="BV178:BX178"/>
    <mergeCell ref="BY178:CA178"/>
    <mergeCell ref="AT179:AV179"/>
    <mergeCell ref="AX179:AZ179"/>
    <mergeCell ref="BA179:BC179"/>
    <mergeCell ref="BF179:BH179"/>
    <mergeCell ref="BJ179:BL179"/>
    <mergeCell ref="BM179:BO179"/>
    <mergeCell ref="BR179:BT179"/>
    <mergeCell ref="AT178:AV178"/>
    <mergeCell ref="AX178:AZ178"/>
    <mergeCell ref="BA178:BC178"/>
    <mergeCell ref="BF178:BH178"/>
    <mergeCell ref="BJ178:BL178"/>
    <mergeCell ref="BM178:BO178"/>
    <mergeCell ref="BY176:CA176"/>
    <mergeCell ref="AT177:AV177"/>
    <mergeCell ref="AX177:AZ177"/>
    <mergeCell ref="BA177:BC177"/>
    <mergeCell ref="BF177:BH177"/>
    <mergeCell ref="BJ177:BL177"/>
    <mergeCell ref="BM177:BO177"/>
    <mergeCell ref="BR177:BT177"/>
    <mergeCell ref="BV177:BX177"/>
    <mergeCell ref="BY177:CA177"/>
    <mergeCell ref="BR174:BX175"/>
    <mergeCell ref="BY174:CA175"/>
    <mergeCell ref="AT176:AV176"/>
    <mergeCell ref="AX176:AZ176"/>
    <mergeCell ref="BA176:BC176"/>
    <mergeCell ref="BF176:BH176"/>
    <mergeCell ref="BJ176:BL176"/>
    <mergeCell ref="BM176:BO176"/>
    <mergeCell ref="BR176:BT176"/>
    <mergeCell ref="BV176:BX176"/>
    <mergeCell ref="AS173:BC173"/>
    <mergeCell ref="BF173:BO173"/>
    <mergeCell ref="BR173:CA173"/>
    <mergeCell ref="AS174:AS175"/>
    <mergeCell ref="AT174:AZ175"/>
    <mergeCell ref="BA174:BC175"/>
    <mergeCell ref="BE174:BE175"/>
    <mergeCell ref="BF174:BL175"/>
    <mergeCell ref="BM174:BO175"/>
    <mergeCell ref="BQ174:BQ175"/>
    <mergeCell ref="AT168:AW168"/>
    <mergeCell ref="AX168:AZ168"/>
    <mergeCell ref="AT169:AW169"/>
    <mergeCell ref="AX169:AZ169"/>
    <mergeCell ref="AT171:AW171"/>
    <mergeCell ref="AX171:AZ171"/>
    <mergeCell ref="BE164:BO164"/>
    <mergeCell ref="BQ164:CA164"/>
    <mergeCell ref="BL165:BO165"/>
    <mergeCell ref="BX165:CA165"/>
    <mergeCell ref="AT167:AW167"/>
    <mergeCell ref="AX167:AZ167"/>
    <mergeCell ref="AT162:AW162"/>
    <mergeCell ref="AX162:AZ162"/>
    <mergeCell ref="BF162:BI162"/>
    <mergeCell ref="BJ162:BL162"/>
    <mergeCell ref="BR162:BU162"/>
    <mergeCell ref="BV162:BX162"/>
    <mergeCell ref="BR159:BT159"/>
    <mergeCell ref="BV159:BX159"/>
    <mergeCell ref="BY159:CA159"/>
    <mergeCell ref="AT161:AW161"/>
    <mergeCell ref="AX161:AZ161"/>
    <mergeCell ref="BF161:BI161"/>
    <mergeCell ref="BJ161:BL161"/>
    <mergeCell ref="BR161:BU161"/>
    <mergeCell ref="BV161:BX161"/>
    <mergeCell ref="AT159:AV159"/>
    <mergeCell ref="AX159:AZ159"/>
    <mergeCell ref="BA159:BC159"/>
    <mergeCell ref="BF159:BH159"/>
    <mergeCell ref="BJ159:BL159"/>
    <mergeCell ref="BM159:BO159"/>
    <mergeCell ref="BY157:CA157"/>
    <mergeCell ref="AT158:AV158"/>
    <mergeCell ref="AX158:AZ158"/>
    <mergeCell ref="BA158:BC158"/>
    <mergeCell ref="BF158:BH158"/>
    <mergeCell ref="BJ158:BL158"/>
    <mergeCell ref="BM158:BO158"/>
    <mergeCell ref="BR158:BT158"/>
    <mergeCell ref="BV158:BX158"/>
    <mergeCell ref="BY158:CA158"/>
    <mergeCell ref="BV156:BX156"/>
    <mergeCell ref="BY156:CA156"/>
    <mergeCell ref="AT157:AV157"/>
    <mergeCell ref="AX157:AZ157"/>
    <mergeCell ref="BA157:BC157"/>
    <mergeCell ref="BF157:BH157"/>
    <mergeCell ref="BJ157:BL157"/>
    <mergeCell ref="BM157:BO157"/>
    <mergeCell ref="BR157:BT157"/>
    <mergeCell ref="BV157:BX157"/>
    <mergeCell ref="BR155:BT155"/>
    <mergeCell ref="BV155:BX155"/>
    <mergeCell ref="BY155:CA155"/>
    <mergeCell ref="AT156:AV156"/>
    <mergeCell ref="AX156:AZ156"/>
    <mergeCell ref="BA156:BC156"/>
    <mergeCell ref="BF156:BH156"/>
    <mergeCell ref="BJ156:BL156"/>
    <mergeCell ref="BM156:BO156"/>
    <mergeCell ref="BR156:BT156"/>
    <mergeCell ref="AT155:AV155"/>
    <mergeCell ref="AX155:AZ155"/>
    <mergeCell ref="BA155:BC155"/>
    <mergeCell ref="BF155:BH155"/>
    <mergeCell ref="BJ155:BL155"/>
    <mergeCell ref="BM155:BO155"/>
    <mergeCell ref="BY153:CA153"/>
    <mergeCell ref="AT154:AV154"/>
    <mergeCell ref="AX154:AZ154"/>
    <mergeCell ref="BA154:BC154"/>
    <mergeCell ref="BF154:BH154"/>
    <mergeCell ref="BJ154:BL154"/>
    <mergeCell ref="BM154:BO154"/>
    <mergeCell ref="BR154:BT154"/>
    <mergeCell ref="BV154:BX154"/>
    <mergeCell ref="BY154:CA154"/>
    <mergeCell ref="BV152:BX152"/>
    <mergeCell ref="BY152:CA152"/>
    <mergeCell ref="AT153:AV153"/>
    <mergeCell ref="AX153:AZ153"/>
    <mergeCell ref="BA153:BC153"/>
    <mergeCell ref="BF153:BH153"/>
    <mergeCell ref="BJ153:BL153"/>
    <mergeCell ref="BM153:BO153"/>
    <mergeCell ref="BR153:BT153"/>
    <mergeCell ref="BV153:BX153"/>
    <mergeCell ref="BR151:BT151"/>
    <mergeCell ref="BV151:BX151"/>
    <mergeCell ref="BY151:CA151"/>
    <mergeCell ref="AT152:AV152"/>
    <mergeCell ref="AX152:AZ152"/>
    <mergeCell ref="BA152:BC152"/>
    <mergeCell ref="BF152:BH152"/>
    <mergeCell ref="BJ152:BL152"/>
    <mergeCell ref="BM152:BO152"/>
    <mergeCell ref="BR152:BT152"/>
    <mergeCell ref="AT151:AV151"/>
    <mergeCell ref="AX151:AZ151"/>
    <mergeCell ref="BA151:BC151"/>
    <mergeCell ref="BF151:BH151"/>
    <mergeCell ref="BJ151:BL151"/>
    <mergeCell ref="BM151:BO151"/>
    <mergeCell ref="BY149:CA149"/>
    <mergeCell ref="AT150:AV150"/>
    <mergeCell ref="AX150:AZ150"/>
    <mergeCell ref="BA150:BC150"/>
    <mergeCell ref="BF150:BH150"/>
    <mergeCell ref="BJ150:BL150"/>
    <mergeCell ref="BM150:BO150"/>
    <mergeCell ref="BR150:BT150"/>
    <mergeCell ref="BV150:BX150"/>
    <mergeCell ref="BY150:CA150"/>
    <mergeCell ref="BR147:BX148"/>
    <mergeCell ref="BY147:CA148"/>
    <mergeCell ref="AT149:AV149"/>
    <mergeCell ref="AX149:AZ149"/>
    <mergeCell ref="BA149:BC149"/>
    <mergeCell ref="BF149:BH149"/>
    <mergeCell ref="BJ149:BL149"/>
    <mergeCell ref="BM149:BO149"/>
    <mergeCell ref="BR149:BT149"/>
    <mergeCell ref="BV149:BX149"/>
    <mergeCell ref="AS146:BC146"/>
    <mergeCell ref="BF146:BO146"/>
    <mergeCell ref="BR146:CA146"/>
    <mergeCell ref="AS147:AS148"/>
    <mergeCell ref="AT147:AZ148"/>
    <mergeCell ref="BA147:BC148"/>
    <mergeCell ref="BE147:BE148"/>
    <mergeCell ref="BF147:BL148"/>
    <mergeCell ref="BM147:BO148"/>
    <mergeCell ref="BQ147:BQ148"/>
    <mergeCell ref="AT141:AW141"/>
    <mergeCell ref="AX141:AZ141"/>
    <mergeCell ref="AT142:AW142"/>
    <mergeCell ref="AX142:AZ142"/>
    <mergeCell ref="AT144:AW144"/>
    <mergeCell ref="AX144:AZ144"/>
    <mergeCell ref="BE137:BO137"/>
    <mergeCell ref="BQ137:CA137"/>
    <mergeCell ref="BL138:BO138"/>
    <mergeCell ref="BX138:CA138"/>
    <mergeCell ref="AT140:AW140"/>
    <mergeCell ref="AX140:AZ140"/>
    <mergeCell ref="AT135:AW135"/>
    <mergeCell ref="AX135:AZ135"/>
    <mergeCell ref="BF135:BI135"/>
    <mergeCell ref="BJ135:BL135"/>
    <mergeCell ref="BR135:BU135"/>
    <mergeCell ref="BV135:BX135"/>
    <mergeCell ref="AT134:AW134"/>
    <mergeCell ref="AX134:AZ134"/>
    <mergeCell ref="BF134:BI134"/>
    <mergeCell ref="BJ134:BL134"/>
    <mergeCell ref="BR134:BU134"/>
    <mergeCell ref="BV134:BX134"/>
    <mergeCell ref="BY131:CA131"/>
    <mergeCell ref="AT132:AV132"/>
    <mergeCell ref="AX132:AZ132"/>
    <mergeCell ref="BA132:BC132"/>
    <mergeCell ref="BF132:BH132"/>
    <mergeCell ref="BJ132:BL132"/>
    <mergeCell ref="BM132:BO132"/>
    <mergeCell ref="BR132:BT132"/>
    <mergeCell ref="BV132:BX132"/>
    <mergeCell ref="BY132:CA132"/>
    <mergeCell ref="BV130:BX130"/>
    <mergeCell ref="BY130:CA130"/>
    <mergeCell ref="AT131:AV131"/>
    <mergeCell ref="AX131:AZ131"/>
    <mergeCell ref="BA131:BC131"/>
    <mergeCell ref="BF131:BH131"/>
    <mergeCell ref="BJ131:BL131"/>
    <mergeCell ref="BM131:BO131"/>
    <mergeCell ref="BR131:BT131"/>
    <mergeCell ref="BV131:BX131"/>
    <mergeCell ref="BR129:BT129"/>
    <mergeCell ref="BV129:BX129"/>
    <mergeCell ref="BY129:CA129"/>
    <mergeCell ref="AT130:AV130"/>
    <mergeCell ref="AX130:AZ130"/>
    <mergeCell ref="BA130:BC130"/>
    <mergeCell ref="BF130:BH130"/>
    <mergeCell ref="BJ130:BL130"/>
    <mergeCell ref="BM130:BO130"/>
    <mergeCell ref="BR130:BT130"/>
    <mergeCell ref="AT129:AV129"/>
    <mergeCell ref="AX129:AZ129"/>
    <mergeCell ref="BA129:BC129"/>
    <mergeCell ref="BF129:BH129"/>
    <mergeCell ref="BJ129:BL129"/>
    <mergeCell ref="BM129:BO129"/>
    <mergeCell ref="BY127:CA127"/>
    <mergeCell ref="AT128:AV128"/>
    <mergeCell ref="AX128:AZ128"/>
    <mergeCell ref="BA128:BC128"/>
    <mergeCell ref="BF128:BH128"/>
    <mergeCell ref="BJ128:BL128"/>
    <mergeCell ref="BM128:BO128"/>
    <mergeCell ref="BR128:BT128"/>
    <mergeCell ref="BV128:BX128"/>
    <mergeCell ref="BY128:CA128"/>
    <mergeCell ref="BV126:BX126"/>
    <mergeCell ref="BY126:CA126"/>
    <mergeCell ref="AT127:AV127"/>
    <mergeCell ref="AX127:AZ127"/>
    <mergeCell ref="BA127:BC127"/>
    <mergeCell ref="BF127:BH127"/>
    <mergeCell ref="BJ127:BL127"/>
    <mergeCell ref="BM127:BO127"/>
    <mergeCell ref="BR127:BT127"/>
    <mergeCell ref="BV127:BX127"/>
    <mergeCell ref="BR125:BT125"/>
    <mergeCell ref="BV125:BX125"/>
    <mergeCell ref="BY125:CA125"/>
    <mergeCell ref="AT126:AV126"/>
    <mergeCell ref="AX126:AZ126"/>
    <mergeCell ref="BA126:BC126"/>
    <mergeCell ref="BF126:BH126"/>
    <mergeCell ref="BJ126:BL126"/>
    <mergeCell ref="BM126:BO126"/>
    <mergeCell ref="BR126:BT126"/>
    <mergeCell ref="AT125:AV125"/>
    <mergeCell ref="AX125:AZ125"/>
    <mergeCell ref="BA125:BC125"/>
    <mergeCell ref="BF125:BH125"/>
    <mergeCell ref="BJ125:BL125"/>
    <mergeCell ref="BM125:BO125"/>
    <mergeCell ref="BY123:CA123"/>
    <mergeCell ref="AT124:AV124"/>
    <mergeCell ref="AX124:AZ124"/>
    <mergeCell ref="BA124:BC124"/>
    <mergeCell ref="BF124:BH124"/>
    <mergeCell ref="BJ124:BL124"/>
    <mergeCell ref="BM124:BO124"/>
    <mergeCell ref="BR124:BT124"/>
    <mergeCell ref="BV124:BX124"/>
    <mergeCell ref="BY124:CA124"/>
    <mergeCell ref="BV122:BX122"/>
    <mergeCell ref="BY122:CA122"/>
    <mergeCell ref="AT123:AV123"/>
    <mergeCell ref="AX123:AZ123"/>
    <mergeCell ref="BA123:BC123"/>
    <mergeCell ref="BF123:BH123"/>
    <mergeCell ref="BJ123:BL123"/>
    <mergeCell ref="BM123:BO123"/>
    <mergeCell ref="BR123:BT123"/>
    <mergeCell ref="BV123:BX123"/>
    <mergeCell ref="BQ120:BQ121"/>
    <mergeCell ref="BR120:BX121"/>
    <mergeCell ref="BY120:CA121"/>
    <mergeCell ref="AT122:AV122"/>
    <mergeCell ref="AX122:AZ122"/>
    <mergeCell ref="BA122:BC122"/>
    <mergeCell ref="BF122:BH122"/>
    <mergeCell ref="BJ122:BL122"/>
    <mergeCell ref="BM122:BO122"/>
    <mergeCell ref="BR122:BT122"/>
    <mergeCell ref="AS119:BC119"/>
    <mergeCell ref="BF119:BO119"/>
    <mergeCell ref="BR119:CA119"/>
    <mergeCell ref="AE120:AG120"/>
    <mergeCell ref="AS120:AS121"/>
    <mergeCell ref="AT120:AZ121"/>
    <mergeCell ref="BA120:BC121"/>
    <mergeCell ref="BE120:BE121"/>
    <mergeCell ref="BF120:BL121"/>
    <mergeCell ref="BM120:BO121"/>
    <mergeCell ref="AE118:AG118"/>
    <mergeCell ref="E119:G119"/>
    <mergeCell ref="H119:J119"/>
    <mergeCell ref="K119:M119"/>
    <mergeCell ref="N119:P119"/>
    <mergeCell ref="Q119:S119"/>
    <mergeCell ref="T119:V119"/>
    <mergeCell ref="W119:Y119"/>
    <mergeCell ref="AA119:AC119"/>
    <mergeCell ref="AE119:AG119"/>
    <mergeCell ref="AT117:AW117"/>
    <mergeCell ref="AX117:AZ117"/>
    <mergeCell ref="E118:G118"/>
    <mergeCell ref="H118:J118"/>
    <mergeCell ref="K118:M118"/>
    <mergeCell ref="N118:P118"/>
    <mergeCell ref="Q118:S118"/>
    <mergeCell ref="T118:V118"/>
    <mergeCell ref="W118:Y118"/>
    <mergeCell ref="AA118:AC118"/>
    <mergeCell ref="T112:V112"/>
    <mergeCell ref="AE116:AG116"/>
    <mergeCell ref="E117:G117"/>
    <mergeCell ref="H117:J117"/>
    <mergeCell ref="K117:M117"/>
    <mergeCell ref="N117:P117"/>
    <mergeCell ref="Q117:S117"/>
    <mergeCell ref="T117:V117"/>
    <mergeCell ref="W117:Y117"/>
    <mergeCell ref="AA117:AC117"/>
    <mergeCell ref="AE117:AG117"/>
    <mergeCell ref="AT115:AW115"/>
    <mergeCell ref="AX115:AZ115"/>
    <mergeCell ref="E116:G116"/>
    <mergeCell ref="H116:J116"/>
    <mergeCell ref="K116:M116"/>
    <mergeCell ref="N116:P116"/>
    <mergeCell ref="Q116:S116"/>
    <mergeCell ref="T116:V116"/>
    <mergeCell ref="W116:Y116"/>
    <mergeCell ref="AA116:AC116"/>
    <mergeCell ref="E111:G111"/>
    <mergeCell ref="H111:J111"/>
    <mergeCell ref="K111:M111"/>
    <mergeCell ref="N111:P111"/>
    <mergeCell ref="Q111:S111"/>
    <mergeCell ref="E110:G110"/>
    <mergeCell ref="H110:J110"/>
    <mergeCell ref="K110:M110"/>
    <mergeCell ref="N110:P110"/>
    <mergeCell ref="Q110:S110"/>
    <mergeCell ref="T110:V110"/>
    <mergeCell ref="AA113:AC113"/>
    <mergeCell ref="AE113:AG113"/>
    <mergeCell ref="AT113:AW113"/>
    <mergeCell ref="AX113:AZ113"/>
    <mergeCell ref="AT114:AW114"/>
    <mergeCell ref="AX114:AZ114"/>
    <mergeCell ref="W112:Y112"/>
    <mergeCell ref="AA112:AC112"/>
    <mergeCell ref="AE112:AG112"/>
    <mergeCell ref="E113:G113"/>
    <mergeCell ref="H113:J113"/>
    <mergeCell ref="K113:M113"/>
    <mergeCell ref="N113:P113"/>
    <mergeCell ref="Q113:S113"/>
    <mergeCell ref="T113:V113"/>
    <mergeCell ref="W113:Y113"/>
    <mergeCell ref="E112:G112"/>
    <mergeCell ref="H112:J112"/>
    <mergeCell ref="K112:M112"/>
    <mergeCell ref="N112:P112"/>
    <mergeCell ref="Q112:S112"/>
    <mergeCell ref="BV107:BX107"/>
    <mergeCell ref="AT108:AW108"/>
    <mergeCell ref="AX108:AZ108"/>
    <mergeCell ref="BF108:BI108"/>
    <mergeCell ref="BJ108:BL108"/>
    <mergeCell ref="BR108:BU108"/>
    <mergeCell ref="BV108:BX108"/>
    <mergeCell ref="AA107:AC107"/>
    <mergeCell ref="AE107:AG107"/>
    <mergeCell ref="AT107:AW107"/>
    <mergeCell ref="AX107:AZ107"/>
    <mergeCell ref="BF107:BI107"/>
    <mergeCell ref="BJ107:BL107"/>
    <mergeCell ref="W106:Y106"/>
    <mergeCell ref="AA106:AC106"/>
    <mergeCell ref="AE106:AG106"/>
    <mergeCell ref="T111:V111"/>
    <mergeCell ref="W111:Y111"/>
    <mergeCell ref="AA111:AC111"/>
    <mergeCell ref="AE111:AG111"/>
    <mergeCell ref="BL111:BO111"/>
    <mergeCell ref="BX111:CA111"/>
    <mergeCell ref="W110:Y110"/>
    <mergeCell ref="AA110:AC110"/>
    <mergeCell ref="AE110:AG110"/>
    <mergeCell ref="BE110:BO110"/>
    <mergeCell ref="BQ110:CA110"/>
    <mergeCell ref="E107:G107"/>
    <mergeCell ref="H107:J107"/>
    <mergeCell ref="K107:M107"/>
    <mergeCell ref="N107:P107"/>
    <mergeCell ref="Q107:S107"/>
    <mergeCell ref="T107:V107"/>
    <mergeCell ref="W107:Y107"/>
    <mergeCell ref="E106:G106"/>
    <mergeCell ref="H106:J106"/>
    <mergeCell ref="K106:M106"/>
    <mergeCell ref="N106:P106"/>
    <mergeCell ref="Q106:S106"/>
    <mergeCell ref="T106:V106"/>
    <mergeCell ref="BF105:BH105"/>
    <mergeCell ref="BJ105:BL105"/>
    <mergeCell ref="BM105:BO105"/>
    <mergeCell ref="BR105:BT105"/>
    <mergeCell ref="BR107:BU107"/>
    <mergeCell ref="BV105:BX105"/>
    <mergeCell ref="BY105:CA105"/>
    <mergeCell ref="W105:Y105"/>
    <mergeCell ref="AA105:AC105"/>
    <mergeCell ref="AE105:AG105"/>
    <mergeCell ref="AT105:AV105"/>
    <mergeCell ref="AX105:AZ105"/>
    <mergeCell ref="BA105:BC105"/>
    <mergeCell ref="BM104:BO104"/>
    <mergeCell ref="BR104:BT104"/>
    <mergeCell ref="BV104:BX104"/>
    <mergeCell ref="BY104:CA104"/>
    <mergeCell ref="E105:G105"/>
    <mergeCell ref="H105:J105"/>
    <mergeCell ref="K105:M105"/>
    <mergeCell ref="N105:P105"/>
    <mergeCell ref="Q105:S105"/>
    <mergeCell ref="T105:V105"/>
    <mergeCell ref="AE104:AG104"/>
    <mergeCell ref="AT104:AV104"/>
    <mergeCell ref="AX104:AZ104"/>
    <mergeCell ref="BA104:BC104"/>
    <mergeCell ref="BF104:BH104"/>
    <mergeCell ref="BJ104:BL104"/>
    <mergeCell ref="BV103:BX103"/>
    <mergeCell ref="BY103:CA103"/>
    <mergeCell ref="E104:G104"/>
    <mergeCell ref="H104:J104"/>
    <mergeCell ref="K104:M104"/>
    <mergeCell ref="N104:P104"/>
    <mergeCell ref="Q104:S104"/>
    <mergeCell ref="T104:V104"/>
    <mergeCell ref="W104:Y104"/>
    <mergeCell ref="AA104:AC104"/>
    <mergeCell ref="BR102:BT102"/>
    <mergeCell ref="BV102:BX102"/>
    <mergeCell ref="BY102:CA102"/>
    <mergeCell ref="AT103:AV103"/>
    <mergeCell ref="AX103:AZ103"/>
    <mergeCell ref="BA103:BC103"/>
    <mergeCell ref="BF103:BH103"/>
    <mergeCell ref="BJ103:BL103"/>
    <mergeCell ref="BM103:BO103"/>
    <mergeCell ref="BR103:BT103"/>
    <mergeCell ref="AT102:AV102"/>
    <mergeCell ref="AX102:AZ102"/>
    <mergeCell ref="BA102:BC102"/>
    <mergeCell ref="BF102:BH102"/>
    <mergeCell ref="BJ102:BL102"/>
    <mergeCell ref="BM102:BO102"/>
    <mergeCell ref="BY100:CA100"/>
    <mergeCell ref="W100:Y100"/>
    <mergeCell ref="AA100:AC100"/>
    <mergeCell ref="AE100:AG100"/>
    <mergeCell ref="AT100:AV100"/>
    <mergeCell ref="AX100:AZ100"/>
    <mergeCell ref="BA100:BC100"/>
    <mergeCell ref="E100:G100"/>
    <mergeCell ref="H100:J100"/>
    <mergeCell ref="K100:M100"/>
    <mergeCell ref="N100:P100"/>
    <mergeCell ref="Q100:S100"/>
    <mergeCell ref="T100:V100"/>
    <mergeCell ref="BF101:BH101"/>
    <mergeCell ref="BJ101:BL101"/>
    <mergeCell ref="BM101:BO101"/>
    <mergeCell ref="BR101:BT101"/>
    <mergeCell ref="BV101:BX101"/>
    <mergeCell ref="BY101:CA101"/>
    <mergeCell ref="W101:Y101"/>
    <mergeCell ref="AA101:AC101"/>
    <mergeCell ref="AE101:AG101"/>
    <mergeCell ref="AT101:AV101"/>
    <mergeCell ref="AX101:AZ101"/>
    <mergeCell ref="BA101:BC101"/>
    <mergeCell ref="E101:G101"/>
    <mergeCell ref="H101:J101"/>
    <mergeCell ref="K101:M101"/>
    <mergeCell ref="N101:P101"/>
    <mergeCell ref="Q101:S101"/>
    <mergeCell ref="T101:V101"/>
    <mergeCell ref="E99:G99"/>
    <mergeCell ref="H99:J99"/>
    <mergeCell ref="K99:M99"/>
    <mergeCell ref="N99:P99"/>
    <mergeCell ref="Q99:S99"/>
    <mergeCell ref="T99:V99"/>
    <mergeCell ref="AE98:AG98"/>
    <mergeCell ref="AT98:AV98"/>
    <mergeCell ref="AX98:AZ98"/>
    <mergeCell ref="BA98:BC98"/>
    <mergeCell ref="BF98:BH98"/>
    <mergeCell ref="BJ98:BL98"/>
    <mergeCell ref="BF100:BH100"/>
    <mergeCell ref="BJ100:BL100"/>
    <mergeCell ref="BM100:BO100"/>
    <mergeCell ref="BR100:BT100"/>
    <mergeCell ref="BV100:BX100"/>
    <mergeCell ref="BM97:BO97"/>
    <mergeCell ref="BR97:BT97"/>
    <mergeCell ref="BF99:BH99"/>
    <mergeCell ref="BJ99:BL99"/>
    <mergeCell ref="BM99:BO99"/>
    <mergeCell ref="BR99:BT99"/>
    <mergeCell ref="BV99:BX99"/>
    <mergeCell ref="BY99:CA99"/>
    <mergeCell ref="W99:Y99"/>
    <mergeCell ref="AA99:AC99"/>
    <mergeCell ref="AE99:AG99"/>
    <mergeCell ref="AT99:AV99"/>
    <mergeCell ref="AX99:AZ99"/>
    <mergeCell ref="BA99:BC99"/>
    <mergeCell ref="BM98:BO98"/>
    <mergeCell ref="BR98:BT98"/>
    <mergeCell ref="BV98:BX98"/>
    <mergeCell ref="BY98:CA98"/>
    <mergeCell ref="AT96:AV96"/>
    <mergeCell ref="AX96:AZ96"/>
    <mergeCell ref="BA96:BC96"/>
    <mergeCell ref="BF96:BH96"/>
    <mergeCell ref="BJ96:BL96"/>
    <mergeCell ref="BM96:BO96"/>
    <mergeCell ref="AE95:AG95"/>
    <mergeCell ref="AT95:AV95"/>
    <mergeCell ref="AX95:AZ95"/>
    <mergeCell ref="BA95:BC95"/>
    <mergeCell ref="BF95:BH95"/>
    <mergeCell ref="BJ95:BL95"/>
    <mergeCell ref="AA94:AC94"/>
    <mergeCell ref="AE94:AG94"/>
    <mergeCell ref="BV97:BX97"/>
    <mergeCell ref="BY97:CA97"/>
    <mergeCell ref="E98:G98"/>
    <mergeCell ref="H98:J98"/>
    <mergeCell ref="K98:M98"/>
    <mergeCell ref="N98:P98"/>
    <mergeCell ref="Q98:S98"/>
    <mergeCell ref="T98:V98"/>
    <mergeCell ref="W98:Y98"/>
    <mergeCell ref="AA98:AC98"/>
    <mergeCell ref="BR96:BT96"/>
    <mergeCell ref="BV96:BX96"/>
    <mergeCell ref="BY96:CA96"/>
    <mergeCell ref="AT97:AV97"/>
    <mergeCell ref="AX97:AZ97"/>
    <mergeCell ref="BA97:BC97"/>
    <mergeCell ref="BF97:BH97"/>
    <mergeCell ref="BJ97:BL97"/>
    <mergeCell ref="E95:G95"/>
    <mergeCell ref="H95:J95"/>
    <mergeCell ref="K95:M95"/>
    <mergeCell ref="N95:P95"/>
    <mergeCell ref="Q95:S95"/>
    <mergeCell ref="T95:V95"/>
    <mergeCell ref="W95:Y95"/>
    <mergeCell ref="AA95:AC95"/>
    <mergeCell ref="BQ93:BQ94"/>
    <mergeCell ref="BR93:BX94"/>
    <mergeCell ref="BY93:CA94"/>
    <mergeCell ref="E94:G94"/>
    <mergeCell ref="H94:J94"/>
    <mergeCell ref="K94:M94"/>
    <mergeCell ref="N94:P94"/>
    <mergeCell ref="Q94:S94"/>
    <mergeCell ref="T94:V94"/>
    <mergeCell ref="W94:Y94"/>
    <mergeCell ref="AS93:AS94"/>
    <mergeCell ref="AT93:AZ94"/>
    <mergeCell ref="BA93:BC94"/>
    <mergeCell ref="BE93:BE94"/>
    <mergeCell ref="BF93:BL94"/>
    <mergeCell ref="BM93:BO94"/>
    <mergeCell ref="BM95:BO95"/>
    <mergeCell ref="BR95:BT95"/>
    <mergeCell ref="BV95:BX95"/>
    <mergeCell ref="BY95:CA95"/>
    <mergeCell ref="BR92:CA92"/>
    <mergeCell ref="E93:G93"/>
    <mergeCell ref="H93:J93"/>
    <mergeCell ref="K93:M93"/>
    <mergeCell ref="N93:P93"/>
    <mergeCell ref="Q93:S93"/>
    <mergeCell ref="T93:V93"/>
    <mergeCell ref="W93:Y93"/>
    <mergeCell ref="AA93:AC93"/>
    <mergeCell ref="AE93:AG93"/>
    <mergeCell ref="T92:V92"/>
    <mergeCell ref="W92:Y92"/>
    <mergeCell ref="AA92:AC92"/>
    <mergeCell ref="AE92:AG92"/>
    <mergeCell ref="AS92:BC92"/>
    <mergeCell ref="BF92:BO92"/>
    <mergeCell ref="W89:Y89"/>
    <mergeCell ref="AA89:AC89"/>
    <mergeCell ref="AE89:AG89"/>
    <mergeCell ref="AT90:AW90"/>
    <mergeCell ref="AX90:AZ90"/>
    <mergeCell ref="E92:G92"/>
    <mergeCell ref="H92:J92"/>
    <mergeCell ref="K92:M92"/>
    <mergeCell ref="N92:P92"/>
    <mergeCell ref="Q92:S92"/>
    <mergeCell ref="E89:G89"/>
    <mergeCell ref="H89:J89"/>
    <mergeCell ref="K89:M89"/>
    <mergeCell ref="N89:P89"/>
    <mergeCell ref="Q89:S89"/>
    <mergeCell ref="T89:V89"/>
    <mergeCell ref="T88:V88"/>
    <mergeCell ref="W88:Y88"/>
    <mergeCell ref="AA88:AC88"/>
    <mergeCell ref="AE88:AG88"/>
    <mergeCell ref="AT88:AW88"/>
    <mergeCell ref="AX88:AZ88"/>
    <mergeCell ref="W87:Y87"/>
    <mergeCell ref="AA87:AC87"/>
    <mergeCell ref="AE87:AG87"/>
    <mergeCell ref="AT87:AW87"/>
    <mergeCell ref="AX87:AZ87"/>
    <mergeCell ref="E88:G88"/>
    <mergeCell ref="H88:J88"/>
    <mergeCell ref="K88:M88"/>
    <mergeCell ref="N88:P88"/>
    <mergeCell ref="Q88:S88"/>
    <mergeCell ref="E87:G87"/>
    <mergeCell ref="H87:J87"/>
    <mergeCell ref="K87:M87"/>
    <mergeCell ref="N87:P87"/>
    <mergeCell ref="Q87:S87"/>
    <mergeCell ref="T87:V87"/>
    <mergeCell ref="T86:V86"/>
    <mergeCell ref="W86:Y86"/>
    <mergeCell ref="AA86:AC86"/>
    <mergeCell ref="AE86:AG86"/>
    <mergeCell ref="AT86:AW86"/>
    <mergeCell ref="AX86:AZ86"/>
    <mergeCell ref="AE83:AG83"/>
    <mergeCell ref="BE83:BO83"/>
    <mergeCell ref="BQ83:CA83"/>
    <mergeCell ref="BL84:BO84"/>
    <mergeCell ref="BX84:CA84"/>
    <mergeCell ref="E86:G86"/>
    <mergeCell ref="H86:J86"/>
    <mergeCell ref="K86:M86"/>
    <mergeCell ref="N86:P86"/>
    <mergeCell ref="Q86:S86"/>
    <mergeCell ref="AA82:AC82"/>
    <mergeCell ref="AE82:AG82"/>
    <mergeCell ref="E83:G83"/>
    <mergeCell ref="H83:J83"/>
    <mergeCell ref="K83:M83"/>
    <mergeCell ref="N83:P83"/>
    <mergeCell ref="Q83:S83"/>
    <mergeCell ref="T83:V83"/>
    <mergeCell ref="W83:Y83"/>
    <mergeCell ref="AA83:AC83"/>
    <mergeCell ref="BJ81:BL81"/>
    <mergeCell ref="BR81:BU81"/>
    <mergeCell ref="BV81:BX81"/>
    <mergeCell ref="E82:G82"/>
    <mergeCell ref="H82:J82"/>
    <mergeCell ref="K82:M82"/>
    <mergeCell ref="N82:P82"/>
    <mergeCell ref="Q82:S82"/>
    <mergeCell ref="T82:V82"/>
    <mergeCell ref="W82:Y82"/>
    <mergeCell ref="W81:Y81"/>
    <mergeCell ref="AA81:AC81"/>
    <mergeCell ref="AE81:AG81"/>
    <mergeCell ref="AT81:AW81"/>
    <mergeCell ref="AX81:AZ81"/>
    <mergeCell ref="BF81:BI81"/>
    <mergeCell ref="E81:G81"/>
    <mergeCell ref="H81:J81"/>
    <mergeCell ref="K81:M81"/>
    <mergeCell ref="N81:P81"/>
    <mergeCell ref="Q81:S81"/>
    <mergeCell ref="T81:V81"/>
    <mergeCell ref="AT80:AW80"/>
    <mergeCell ref="AX80:AZ80"/>
    <mergeCell ref="BF80:BI80"/>
    <mergeCell ref="BJ80:BL80"/>
    <mergeCell ref="BR80:BU80"/>
    <mergeCell ref="BV80:BX80"/>
    <mergeCell ref="BY78:CA78"/>
    <mergeCell ref="E80:G80"/>
    <mergeCell ref="H80:J80"/>
    <mergeCell ref="K80:M80"/>
    <mergeCell ref="N80:P80"/>
    <mergeCell ref="Q80:S80"/>
    <mergeCell ref="T80:V80"/>
    <mergeCell ref="W80:Y80"/>
    <mergeCell ref="AA80:AC80"/>
    <mergeCell ref="AE80:AG80"/>
    <mergeCell ref="BV77:BX77"/>
    <mergeCell ref="BY77:CA77"/>
    <mergeCell ref="AT78:AV78"/>
    <mergeCell ref="AX78:AZ78"/>
    <mergeCell ref="BA78:BC78"/>
    <mergeCell ref="BF78:BH78"/>
    <mergeCell ref="BJ78:BL78"/>
    <mergeCell ref="BM78:BO78"/>
    <mergeCell ref="BR78:BT78"/>
    <mergeCell ref="BV78:BX78"/>
    <mergeCell ref="BV75:BX75"/>
    <mergeCell ref="T75:V75"/>
    <mergeCell ref="W75:Y75"/>
    <mergeCell ref="AA75:AC75"/>
    <mergeCell ref="AE75:AG75"/>
    <mergeCell ref="AT75:AV75"/>
    <mergeCell ref="AX75:AZ75"/>
    <mergeCell ref="BR76:BT76"/>
    <mergeCell ref="BV76:BX76"/>
    <mergeCell ref="BY76:CA76"/>
    <mergeCell ref="AT77:AV77"/>
    <mergeCell ref="AX77:AZ77"/>
    <mergeCell ref="BA77:BC77"/>
    <mergeCell ref="BF77:BH77"/>
    <mergeCell ref="BJ77:BL77"/>
    <mergeCell ref="BM77:BO77"/>
    <mergeCell ref="BR77:BT77"/>
    <mergeCell ref="AT76:AV76"/>
    <mergeCell ref="AX76:AZ76"/>
    <mergeCell ref="BA76:BC76"/>
    <mergeCell ref="BF76:BH76"/>
    <mergeCell ref="BJ76:BL76"/>
    <mergeCell ref="BM76:BO76"/>
    <mergeCell ref="BY75:CA75"/>
    <mergeCell ref="BF73:BH73"/>
    <mergeCell ref="BJ73:BL73"/>
    <mergeCell ref="BM73:BO73"/>
    <mergeCell ref="E76:G76"/>
    <mergeCell ref="H76:J76"/>
    <mergeCell ref="K76:M76"/>
    <mergeCell ref="N76:P76"/>
    <mergeCell ref="Q76:S76"/>
    <mergeCell ref="T76:V76"/>
    <mergeCell ref="W76:Y76"/>
    <mergeCell ref="AA76:AC76"/>
    <mergeCell ref="AE76:AG76"/>
    <mergeCell ref="BA75:BC75"/>
    <mergeCell ref="BF75:BH75"/>
    <mergeCell ref="BJ75:BL75"/>
    <mergeCell ref="BM75:BO75"/>
    <mergeCell ref="BR75:BT75"/>
    <mergeCell ref="BM72:BO72"/>
    <mergeCell ref="BR72:BT72"/>
    <mergeCell ref="BV72:BX72"/>
    <mergeCell ref="BJ74:BL74"/>
    <mergeCell ref="BM74:BO74"/>
    <mergeCell ref="BR74:BT74"/>
    <mergeCell ref="BV74:BX74"/>
    <mergeCell ref="BY74:CA74"/>
    <mergeCell ref="E75:G75"/>
    <mergeCell ref="H75:J75"/>
    <mergeCell ref="K75:M75"/>
    <mergeCell ref="N75:P75"/>
    <mergeCell ref="Q75:S75"/>
    <mergeCell ref="AA74:AC74"/>
    <mergeCell ref="AE74:AG74"/>
    <mergeCell ref="AT74:AV74"/>
    <mergeCell ref="AX74:AZ74"/>
    <mergeCell ref="BA74:BC74"/>
    <mergeCell ref="BF74:BH74"/>
    <mergeCell ref="BR73:BT73"/>
    <mergeCell ref="BV73:BX73"/>
    <mergeCell ref="BY73:CA73"/>
    <mergeCell ref="E74:G74"/>
    <mergeCell ref="H74:J74"/>
    <mergeCell ref="K74:M74"/>
    <mergeCell ref="N74:P74"/>
    <mergeCell ref="Q74:S74"/>
    <mergeCell ref="T74:V74"/>
    <mergeCell ref="W74:Y74"/>
    <mergeCell ref="AT73:AV73"/>
    <mergeCell ref="AX73:AZ73"/>
    <mergeCell ref="BA73:BC73"/>
    <mergeCell ref="BY70:CA70"/>
    <mergeCell ref="AT71:AV71"/>
    <mergeCell ref="AX71:AZ71"/>
    <mergeCell ref="BA71:BC71"/>
    <mergeCell ref="BF71:BH71"/>
    <mergeCell ref="BJ71:BL71"/>
    <mergeCell ref="BM71:BO71"/>
    <mergeCell ref="BR71:BT71"/>
    <mergeCell ref="AT70:AV70"/>
    <mergeCell ref="AX70:AZ70"/>
    <mergeCell ref="BA70:BC70"/>
    <mergeCell ref="BF70:BH70"/>
    <mergeCell ref="BJ70:BL70"/>
    <mergeCell ref="BM70:BO70"/>
    <mergeCell ref="BY69:CA69"/>
    <mergeCell ref="BY72:CA72"/>
    <mergeCell ref="E73:G73"/>
    <mergeCell ref="H73:J73"/>
    <mergeCell ref="K73:M73"/>
    <mergeCell ref="N73:P73"/>
    <mergeCell ref="Q73:S73"/>
    <mergeCell ref="T73:V73"/>
    <mergeCell ref="W73:Y73"/>
    <mergeCell ref="AA73:AC73"/>
    <mergeCell ref="AE73:AG73"/>
    <mergeCell ref="BV71:BX71"/>
    <mergeCell ref="BY71:CA71"/>
    <mergeCell ref="AT72:AV72"/>
    <mergeCell ref="AX72:AZ72"/>
    <mergeCell ref="BA72:BC72"/>
    <mergeCell ref="BF72:BH72"/>
    <mergeCell ref="BJ72:BL72"/>
    <mergeCell ref="E70:G70"/>
    <mergeCell ref="H70:J70"/>
    <mergeCell ref="K70:M70"/>
    <mergeCell ref="N70:P70"/>
    <mergeCell ref="Q70:S70"/>
    <mergeCell ref="T70:V70"/>
    <mergeCell ref="W70:Y70"/>
    <mergeCell ref="AA70:AC70"/>
    <mergeCell ref="AE70:AG70"/>
    <mergeCell ref="BA69:BC69"/>
    <mergeCell ref="BF69:BH69"/>
    <mergeCell ref="BJ69:BL69"/>
    <mergeCell ref="BM69:BO69"/>
    <mergeCell ref="BR69:BT69"/>
    <mergeCell ref="BV69:BX69"/>
    <mergeCell ref="T69:V69"/>
    <mergeCell ref="W69:Y69"/>
    <mergeCell ref="AA69:AC69"/>
    <mergeCell ref="AE69:AG69"/>
    <mergeCell ref="AT69:AV69"/>
    <mergeCell ref="AX69:AZ69"/>
    <mergeCell ref="BR70:BT70"/>
    <mergeCell ref="BV70:BX70"/>
    <mergeCell ref="BJ68:BL68"/>
    <mergeCell ref="BM68:BO68"/>
    <mergeCell ref="BR68:BT68"/>
    <mergeCell ref="BV68:BX68"/>
    <mergeCell ref="BY68:CA68"/>
    <mergeCell ref="E69:G69"/>
    <mergeCell ref="H69:J69"/>
    <mergeCell ref="K69:M69"/>
    <mergeCell ref="N69:P69"/>
    <mergeCell ref="Q69:S69"/>
    <mergeCell ref="AA68:AC68"/>
    <mergeCell ref="AE68:AG68"/>
    <mergeCell ref="AT68:AV68"/>
    <mergeCell ref="AX68:AZ68"/>
    <mergeCell ref="BA68:BC68"/>
    <mergeCell ref="BF68:BH68"/>
    <mergeCell ref="W67:Y67"/>
    <mergeCell ref="AA67:AC67"/>
    <mergeCell ref="AE67:AG67"/>
    <mergeCell ref="E68:G68"/>
    <mergeCell ref="H68:J68"/>
    <mergeCell ref="K68:M68"/>
    <mergeCell ref="N68:P68"/>
    <mergeCell ref="Q68:S68"/>
    <mergeCell ref="T68:V68"/>
    <mergeCell ref="W68:Y68"/>
    <mergeCell ref="E67:G67"/>
    <mergeCell ref="H67:J67"/>
    <mergeCell ref="K67:M67"/>
    <mergeCell ref="N67:P67"/>
    <mergeCell ref="Q67:S67"/>
    <mergeCell ref="T67:V67"/>
    <mergeCell ref="BR65:CA65"/>
    <mergeCell ref="AS66:AS67"/>
    <mergeCell ref="AT66:AZ67"/>
    <mergeCell ref="BA66:BC67"/>
    <mergeCell ref="BE66:BE67"/>
    <mergeCell ref="BF66:BL67"/>
    <mergeCell ref="BM66:BO67"/>
    <mergeCell ref="BQ66:BQ67"/>
    <mergeCell ref="BR66:BX67"/>
    <mergeCell ref="BY66:CA67"/>
    <mergeCell ref="E63:H63"/>
    <mergeCell ref="P63:R63"/>
    <mergeCell ref="T63:V63"/>
    <mergeCell ref="AB63:AD63"/>
    <mergeCell ref="AS65:BC65"/>
    <mergeCell ref="BF65:BO65"/>
    <mergeCell ref="AX60:AZ60"/>
    <mergeCell ref="E61:H61"/>
    <mergeCell ref="P61:R61"/>
    <mergeCell ref="AB61:AD61"/>
    <mergeCell ref="E62:H62"/>
    <mergeCell ref="P62:R62"/>
    <mergeCell ref="T62:V62"/>
    <mergeCell ref="AB62:AD62"/>
    <mergeCell ref="AT62:AW62"/>
    <mergeCell ref="AX62:AZ62"/>
    <mergeCell ref="AT58:AW58"/>
    <mergeCell ref="AX58:AZ58"/>
    <mergeCell ref="D59:D60"/>
    <mergeCell ref="E59:H60"/>
    <mergeCell ref="J59:P59"/>
    <mergeCell ref="AT59:AW59"/>
    <mergeCell ref="AX59:AZ59"/>
    <mergeCell ref="J60:N60"/>
    <mergeCell ref="X60:Z60"/>
    <mergeCell ref="AT60:AW60"/>
    <mergeCell ref="E55:H55"/>
    <mergeCell ref="J55:L55"/>
    <mergeCell ref="R55:T55"/>
    <mergeCell ref="BE55:BO55"/>
    <mergeCell ref="BQ55:CA55"/>
    <mergeCell ref="BL56:BO56"/>
    <mergeCell ref="BX56:CA56"/>
    <mergeCell ref="BJ53:BL53"/>
    <mergeCell ref="BR53:BU53"/>
    <mergeCell ref="BV53:BX53"/>
    <mergeCell ref="E54:H54"/>
    <mergeCell ref="J54:L54"/>
    <mergeCell ref="R54:T54"/>
    <mergeCell ref="AX52:AZ52"/>
    <mergeCell ref="BF52:BI52"/>
    <mergeCell ref="BJ52:BL52"/>
    <mergeCell ref="BR52:BU52"/>
    <mergeCell ref="BV52:BX52"/>
    <mergeCell ref="E53:H53"/>
    <mergeCell ref="R53:T53"/>
    <mergeCell ref="AT53:AW53"/>
    <mergeCell ref="AX53:AZ53"/>
    <mergeCell ref="BF53:BI53"/>
    <mergeCell ref="BR50:BT50"/>
    <mergeCell ref="BV50:BX50"/>
    <mergeCell ref="BY50:CA50"/>
    <mergeCell ref="D51:D52"/>
    <mergeCell ref="E51:H52"/>
    <mergeCell ref="J51:P51"/>
    <mergeCell ref="AG51:AI51"/>
    <mergeCell ref="N52:P52"/>
    <mergeCell ref="AG52:AI52"/>
    <mergeCell ref="AT52:AW52"/>
    <mergeCell ref="BR49:BT49"/>
    <mergeCell ref="BV49:BX49"/>
    <mergeCell ref="BY49:CA49"/>
    <mergeCell ref="AG50:AI50"/>
    <mergeCell ref="AT50:AV50"/>
    <mergeCell ref="AX50:AZ50"/>
    <mergeCell ref="BA50:BC50"/>
    <mergeCell ref="BF50:BH50"/>
    <mergeCell ref="BJ50:BL50"/>
    <mergeCell ref="BM50:BO50"/>
    <mergeCell ref="BR48:BT48"/>
    <mergeCell ref="BV48:BX48"/>
    <mergeCell ref="BY48:CA48"/>
    <mergeCell ref="AF49:AI49"/>
    <mergeCell ref="AT49:AV49"/>
    <mergeCell ref="AX49:AZ49"/>
    <mergeCell ref="BA49:BC49"/>
    <mergeCell ref="BF49:BH49"/>
    <mergeCell ref="BJ49:BL49"/>
    <mergeCell ref="BM49:BO49"/>
    <mergeCell ref="BM47:BO47"/>
    <mergeCell ref="BR47:BT47"/>
    <mergeCell ref="BV47:BX47"/>
    <mergeCell ref="BY47:CA47"/>
    <mergeCell ref="AT48:AV48"/>
    <mergeCell ref="AX48:AZ48"/>
    <mergeCell ref="BA48:BC48"/>
    <mergeCell ref="BF48:BH48"/>
    <mergeCell ref="BJ48:BL48"/>
    <mergeCell ref="BM48:BO48"/>
    <mergeCell ref="BJ46:BL46"/>
    <mergeCell ref="BM46:BO46"/>
    <mergeCell ref="BR46:BT46"/>
    <mergeCell ref="BV46:BX46"/>
    <mergeCell ref="BY46:CA46"/>
    <mergeCell ref="AT47:AV47"/>
    <mergeCell ref="AX47:AZ47"/>
    <mergeCell ref="BA47:BC47"/>
    <mergeCell ref="BF47:BH47"/>
    <mergeCell ref="BJ47:BL47"/>
    <mergeCell ref="BY45:CA45"/>
    <mergeCell ref="E46:F46"/>
    <mergeCell ref="I46:J46"/>
    <mergeCell ref="K46:L46"/>
    <mergeCell ref="T46:W46"/>
    <mergeCell ref="X46:Z46"/>
    <mergeCell ref="AT46:AV46"/>
    <mergeCell ref="AX46:AZ46"/>
    <mergeCell ref="BA46:BC46"/>
    <mergeCell ref="BF46:BH46"/>
    <mergeCell ref="BA45:BC45"/>
    <mergeCell ref="BF45:BH45"/>
    <mergeCell ref="BJ45:BL45"/>
    <mergeCell ref="BM45:BO45"/>
    <mergeCell ref="BR45:BT45"/>
    <mergeCell ref="BV45:BX45"/>
    <mergeCell ref="BY44:CA44"/>
    <mergeCell ref="E45:F45"/>
    <mergeCell ref="G45:H45"/>
    <mergeCell ref="I45:J45"/>
    <mergeCell ref="K45:L45"/>
    <mergeCell ref="M45:P45"/>
    <mergeCell ref="T45:W45"/>
    <mergeCell ref="X45:Z45"/>
    <mergeCell ref="AT45:AV45"/>
    <mergeCell ref="AX45:AZ45"/>
    <mergeCell ref="BA44:BC44"/>
    <mergeCell ref="BF44:BH44"/>
    <mergeCell ref="BJ44:BL44"/>
    <mergeCell ref="BM44:BO44"/>
    <mergeCell ref="BR44:BT44"/>
    <mergeCell ref="BV44:BX44"/>
    <mergeCell ref="BY43:CA43"/>
    <mergeCell ref="E44:F44"/>
    <mergeCell ref="G44:H44"/>
    <mergeCell ref="I44:J44"/>
    <mergeCell ref="K44:L44"/>
    <mergeCell ref="M44:P44"/>
    <mergeCell ref="T44:W44"/>
    <mergeCell ref="X44:Z44"/>
    <mergeCell ref="AT44:AV44"/>
    <mergeCell ref="AX44:AZ44"/>
    <mergeCell ref="BA43:BC43"/>
    <mergeCell ref="BF43:BH43"/>
    <mergeCell ref="BJ43:BL43"/>
    <mergeCell ref="BM43:BO43"/>
    <mergeCell ref="BR43:BT43"/>
    <mergeCell ref="BV43:BX43"/>
    <mergeCell ref="BY42:CA42"/>
    <mergeCell ref="E43:F43"/>
    <mergeCell ref="G43:H43"/>
    <mergeCell ref="I43:J43"/>
    <mergeCell ref="K43:L43"/>
    <mergeCell ref="M43:P43"/>
    <mergeCell ref="T43:W43"/>
    <mergeCell ref="X43:Z43"/>
    <mergeCell ref="AT43:AV43"/>
    <mergeCell ref="AX43:AZ43"/>
    <mergeCell ref="BA42:BC42"/>
    <mergeCell ref="BF42:BH42"/>
    <mergeCell ref="BJ42:BL42"/>
    <mergeCell ref="BM42:BO42"/>
    <mergeCell ref="BR42:BT42"/>
    <mergeCell ref="BV42:BX42"/>
    <mergeCell ref="BY41:CA41"/>
    <mergeCell ref="E42:F42"/>
    <mergeCell ref="G42:H42"/>
    <mergeCell ref="I42:J42"/>
    <mergeCell ref="K42:L42"/>
    <mergeCell ref="M42:P42"/>
    <mergeCell ref="T42:W42"/>
    <mergeCell ref="X42:Z42"/>
    <mergeCell ref="AT42:AV42"/>
    <mergeCell ref="AX42:AZ42"/>
    <mergeCell ref="BA41:BC41"/>
    <mergeCell ref="BF41:BH41"/>
    <mergeCell ref="BJ41:BL41"/>
    <mergeCell ref="BM41:BO41"/>
    <mergeCell ref="BR41:BT41"/>
    <mergeCell ref="BV41:BX41"/>
    <mergeCell ref="K41:L41"/>
    <mergeCell ref="M41:P41"/>
    <mergeCell ref="T41:W41"/>
    <mergeCell ref="X41:Z41"/>
    <mergeCell ref="AT41:AV41"/>
    <mergeCell ref="AX41:AZ41"/>
    <mergeCell ref="BA40:BC40"/>
    <mergeCell ref="BF40:BH40"/>
    <mergeCell ref="BJ40:BL40"/>
    <mergeCell ref="BM40:BO40"/>
    <mergeCell ref="BR40:BT40"/>
    <mergeCell ref="BV40:BX40"/>
    <mergeCell ref="K40:L40"/>
    <mergeCell ref="M40:P40"/>
    <mergeCell ref="T40:W40"/>
    <mergeCell ref="X40:Z40"/>
    <mergeCell ref="AT40:AV40"/>
    <mergeCell ref="AX40:AZ40"/>
    <mergeCell ref="BF38:BL39"/>
    <mergeCell ref="BM38:BO39"/>
    <mergeCell ref="BQ38:BQ39"/>
    <mergeCell ref="BR38:BX39"/>
    <mergeCell ref="BY38:CA39"/>
    <mergeCell ref="B39:B40"/>
    <mergeCell ref="E39:F39"/>
    <mergeCell ref="G39:H39"/>
    <mergeCell ref="I39:J39"/>
    <mergeCell ref="K39:L39"/>
    <mergeCell ref="T38:W38"/>
    <mergeCell ref="X38:Z38"/>
    <mergeCell ref="AS38:AS39"/>
    <mergeCell ref="AT38:AZ39"/>
    <mergeCell ref="BA38:BC39"/>
    <mergeCell ref="BE38:BE39"/>
    <mergeCell ref="T39:W39"/>
    <mergeCell ref="X39:Z39"/>
    <mergeCell ref="E38:F38"/>
    <mergeCell ref="G38:H38"/>
    <mergeCell ref="I38:J38"/>
    <mergeCell ref="K38:L38"/>
    <mergeCell ref="M38:P38"/>
    <mergeCell ref="Q38:S45"/>
    <mergeCell ref="M39:P39"/>
    <mergeCell ref="E40:F40"/>
    <mergeCell ref="G40:H40"/>
    <mergeCell ref="I40:J40"/>
    <mergeCell ref="BY40:CA40"/>
    <mergeCell ref="E41:F41"/>
    <mergeCell ref="G41:H41"/>
    <mergeCell ref="I41:J41"/>
    <mergeCell ref="Q37:S37"/>
    <mergeCell ref="T37:W37"/>
    <mergeCell ref="X37:Z37"/>
    <mergeCell ref="AS37:BC37"/>
    <mergeCell ref="BF37:BO37"/>
    <mergeCell ref="BR37:CA37"/>
    <mergeCell ref="AA33:AC33"/>
    <mergeCell ref="AE33:AG33"/>
    <mergeCell ref="AA34:AC34"/>
    <mergeCell ref="AE34:AG34"/>
    <mergeCell ref="B37:B38"/>
    <mergeCell ref="E37:F37"/>
    <mergeCell ref="G37:H37"/>
    <mergeCell ref="I37:J37"/>
    <mergeCell ref="K37:L37"/>
    <mergeCell ref="M37:P37"/>
    <mergeCell ref="W32:Y32"/>
    <mergeCell ref="AA32:AC32"/>
    <mergeCell ref="AE32:AG32"/>
    <mergeCell ref="E33:G33"/>
    <mergeCell ref="H33:J33"/>
    <mergeCell ref="K33:M33"/>
    <mergeCell ref="N33:P33"/>
    <mergeCell ref="Q33:S33"/>
    <mergeCell ref="T33:V33"/>
    <mergeCell ref="W33:Y33"/>
    <mergeCell ref="E32:G32"/>
    <mergeCell ref="H32:J32"/>
    <mergeCell ref="K32:M32"/>
    <mergeCell ref="N32:P32"/>
    <mergeCell ref="Q32:S32"/>
    <mergeCell ref="T32:V32"/>
    <mergeCell ref="AE30:AG30"/>
    <mergeCell ref="E31:G31"/>
    <mergeCell ref="H31:J31"/>
    <mergeCell ref="K31:M31"/>
    <mergeCell ref="N31:P31"/>
    <mergeCell ref="Q31:S31"/>
    <mergeCell ref="T31:V31"/>
    <mergeCell ref="W31:Y31"/>
    <mergeCell ref="AA31:AC31"/>
    <mergeCell ref="AE31:AG31"/>
    <mergeCell ref="AT28:AW28"/>
    <mergeCell ref="AX28:AZ28"/>
    <mergeCell ref="E30:G30"/>
    <mergeCell ref="H30:J30"/>
    <mergeCell ref="K30:M30"/>
    <mergeCell ref="N30:P30"/>
    <mergeCell ref="Q30:S30"/>
    <mergeCell ref="T30:V30"/>
    <mergeCell ref="W30:Y30"/>
    <mergeCell ref="AA30:AC30"/>
    <mergeCell ref="B28:C28"/>
    <mergeCell ref="F28:I28"/>
    <mergeCell ref="J28:M28"/>
    <mergeCell ref="N28:Q28"/>
    <mergeCell ref="R28:U28"/>
    <mergeCell ref="V28:Y28"/>
    <mergeCell ref="AT26:AW26"/>
    <mergeCell ref="AX26:AZ26"/>
    <mergeCell ref="B27:C27"/>
    <mergeCell ref="F27:I27"/>
    <mergeCell ref="J27:M27"/>
    <mergeCell ref="N27:Q27"/>
    <mergeCell ref="R27:U27"/>
    <mergeCell ref="V27:Y27"/>
    <mergeCell ref="B26:C26"/>
    <mergeCell ref="F26:I26"/>
    <mergeCell ref="J26:M26"/>
    <mergeCell ref="N26:Q26"/>
    <mergeCell ref="R26:U26"/>
    <mergeCell ref="V26:Y26"/>
    <mergeCell ref="AT24:AW24"/>
    <mergeCell ref="AX24:AZ24"/>
    <mergeCell ref="B25:C25"/>
    <mergeCell ref="F25:I25"/>
    <mergeCell ref="J25:M25"/>
    <mergeCell ref="N25:Q25"/>
    <mergeCell ref="R25:U25"/>
    <mergeCell ref="V25:Y25"/>
    <mergeCell ref="AT25:AW25"/>
    <mergeCell ref="AX25:AZ25"/>
    <mergeCell ref="B24:C24"/>
    <mergeCell ref="F24:I24"/>
    <mergeCell ref="J24:M24"/>
    <mergeCell ref="N24:Q24"/>
    <mergeCell ref="R24:U24"/>
    <mergeCell ref="V24:Y24"/>
    <mergeCell ref="BX22:CA22"/>
    <mergeCell ref="B23:C23"/>
    <mergeCell ref="F23:I23"/>
    <mergeCell ref="J23:M23"/>
    <mergeCell ref="N23:Q23"/>
    <mergeCell ref="R23:U23"/>
    <mergeCell ref="V23:Y23"/>
    <mergeCell ref="V21:Y21"/>
    <mergeCell ref="BE21:BO21"/>
    <mergeCell ref="BQ21:CA21"/>
    <mergeCell ref="B22:C22"/>
    <mergeCell ref="F22:I22"/>
    <mergeCell ref="J22:M22"/>
    <mergeCell ref="N22:Q22"/>
    <mergeCell ref="R22:U22"/>
    <mergeCell ref="V22:Y22"/>
    <mergeCell ref="BL22:BO22"/>
    <mergeCell ref="BV19:BX19"/>
    <mergeCell ref="F20:I20"/>
    <mergeCell ref="J20:M20"/>
    <mergeCell ref="N20:Q20"/>
    <mergeCell ref="R20:U20"/>
    <mergeCell ref="B21:C21"/>
    <mergeCell ref="F21:I21"/>
    <mergeCell ref="J21:M21"/>
    <mergeCell ref="N21:Q21"/>
    <mergeCell ref="R21:U21"/>
    <mergeCell ref="V19:Y20"/>
    <mergeCell ref="AT19:AW19"/>
    <mergeCell ref="AX19:AZ19"/>
    <mergeCell ref="BF19:BI19"/>
    <mergeCell ref="BJ19:BL19"/>
    <mergeCell ref="BR19:BU19"/>
    <mergeCell ref="B19:C20"/>
    <mergeCell ref="D19:E19"/>
    <mergeCell ref="F19:I19"/>
    <mergeCell ref="J19:M19"/>
    <mergeCell ref="N19:Q19"/>
    <mergeCell ref="R19:U19"/>
    <mergeCell ref="BY16:CA16"/>
    <mergeCell ref="AT18:AW18"/>
    <mergeCell ref="AX18:AZ18"/>
    <mergeCell ref="BF18:BI18"/>
    <mergeCell ref="BJ18:BL18"/>
    <mergeCell ref="BR18:BU18"/>
    <mergeCell ref="BV18:BX18"/>
    <mergeCell ref="BV15:BX15"/>
    <mergeCell ref="BY15:CA15"/>
    <mergeCell ref="AT16:AV16"/>
    <mergeCell ref="AX16:AZ16"/>
    <mergeCell ref="BA16:BC16"/>
    <mergeCell ref="BF16:BH16"/>
    <mergeCell ref="BJ16:BL16"/>
    <mergeCell ref="BM16:BO16"/>
    <mergeCell ref="BR16:BT16"/>
    <mergeCell ref="BV16:BX16"/>
    <mergeCell ref="BR14:BT14"/>
    <mergeCell ref="BV14:BX14"/>
    <mergeCell ref="BY14:CA14"/>
    <mergeCell ref="AT15:AV15"/>
    <mergeCell ref="AX15:AZ15"/>
    <mergeCell ref="BA15:BC15"/>
    <mergeCell ref="BF15:BH15"/>
    <mergeCell ref="BJ15:BL15"/>
    <mergeCell ref="BM15:BO15"/>
    <mergeCell ref="BR15:BT15"/>
    <mergeCell ref="AT14:AV14"/>
    <mergeCell ref="AX14:AZ14"/>
    <mergeCell ref="BA14:BC14"/>
    <mergeCell ref="BF14:BH14"/>
    <mergeCell ref="BJ14:BL14"/>
    <mergeCell ref="BM14:BO14"/>
    <mergeCell ref="BY12:CA12"/>
    <mergeCell ref="AT13:AV13"/>
    <mergeCell ref="AX13:AZ13"/>
    <mergeCell ref="BA13:BC13"/>
    <mergeCell ref="BF13:BH13"/>
    <mergeCell ref="BJ13:BL13"/>
    <mergeCell ref="BM13:BO13"/>
    <mergeCell ref="BR13:BT13"/>
    <mergeCell ref="BV13:BX13"/>
    <mergeCell ref="BY13:CA13"/>
    <mergeCell ref="BF6:BH6"/>
    <mergeCell ref="BJ6:BL6"/>
    <mergeCell ref="BM6:BO6"/>
    <mergeCell ref="BR6:BT6"/>
    <mergeCell ref="BV11:BX11"/>
    <mergeCell ref="BY11:CA11"/>
    <mergeCell ref="AT12:AV12"/>
    <mergeCell ref="AX12:AZ12"/>
    <mergeCell ref="BA12:BC12"/>
    <mergeCell ref="BF12:BH12"/>
    <mergeCell ref="BJ12:BL12"/>
    <mergeCell ref="BM12:BO12"/>
    <mergeCell ref="BR12:BT12"/>
    <mergeCell ref="BV12:BX12"/>
    <mergeCell ref="BR9:BT9"/>
    <mergeCell ref="BV9:BX9"/>
    <mergeCell ref="BY9:CA9"/>
    <mergeCell ref="AT11:AV11"/>
    <mergeCell ref="AX11:AZ11"/>
    <mergeCell ref="BA11:BC11"/>
    <mergeCell ref="BF11:BH11"/>
    <mergeCell ref="BJ11:BL11"/>
    <mergeCell ref="BM11:BO11"/>
    <mergeCell ref="BR11:BT11"/>
    <mergeCell ref="AT9:AV9"/>
    <mergeCell ref="AX9:AZ9"/>
    <mergeCell ref="BA9:BC9"/>
    <mergeCell ref="BF9:BH9"/>
    <mergeCell ref="BJ9:BL9"/>
    <mergeCell ref="BM9:BO9"/>
    <mergeCell ref="Q4:S4"/>
    <mergeCell ref="B5:D5"/>
    <mergeCell ref="E5:H5"/>
    <mergeCell ref="I5:L5"/>
    <mergeCell ref="M5:P5"/>
    <mergeCell ref="Q5:S5"/>
    <mergeCell ref="BE3:BE4"/>
    <mergeCell ref="BF3:BL4"/>
    <mergeCell ref="BM3:BO4"/>
    <mergeCell ref="BY7:CA7"/>
    <mergeCell ref="AT8:AV8"/>
    <mergeCell ref="AX8:AZ8"/>
    <mergeCell ref="BA8:BC8"/>
    <mergeCell ref="BF8:BH8"/>
    <mergeCell ref="BJ8:BL8"/>
    <mergeCell ref="BM8:BO8"/>
    <mergeCell ref="BR8:BT8"/>
    <mergeCell ref="BV8:BX8"/>
    <mergeCell ref="BY8:CA8"/>
    <mergeCell ref="BV6:BX6"/>
    <mergeCell ref="BY6:CA6"/>
    <mergeCell ref="AT7:AV7"/>
    <mergeCell ref="AX7:AZ7"/>
    <mergeCell ref="BA7:BC7"/>
    <mergeCell ref="BF7:BH7"/>
    <mergeCell ref="BJ7:BL7"/>
    <mergeCell ref="BM7:BO7"/>
    <mergeCell ref="BR7:BT7"/>
    <mergeCell ref="BV7:BX7"/>
    <mergeCell ref="AT6:AV6"/>
    <mergeCell ref="AX6:AZ6"/>
    <mergeCell ref="BA6:BC6"/>
    <mergeCell ref="BR5:BT5"/>
    <mergeCell ref="BV5:BX5"/>
    <mergeCell ref="BY5:CA5"/>
    <mergeCell ref="BY3:CA4"/>
    <mergeCell ref="BQ3:BQ4"/>
    <mergeCell ref="BR3:BX4"/>
    <mergeCell ref="BF2:BO2"/>
    <mergeCell ref="BR2:CA2"/>
    <mergeCell ref="B3:D3"/>
    <mergeCell ref="E3:H3"/>
    <mergeCell ref="I3:L3"/>
    <mergeCell ref="M3:P3"/>
    <mergeCell ref="Q3:S3"/>
    <mergeCell ref="AS3:AS4"/>
    <mergeCell ref="AT3:AZ4"/>
    <mergeCell ref="BA3:BC4"/>
    <mergeCell ref="A1:AJ1"/>
    <mergeCell ref="E2:H2"/>
    <mergeCell ref="I2:L2"/>
    <mergeCell ref="M2:P2"/>
    <mergeCell ref="Q2:S2"/>
    <mergeCell ref="AS2:BC2"/>
    <mergeCell ref="AT5:AV5"/>
    <mergeCell ref="AX5:AZ5"/>
    <mergeCell ref="BA5:BC5"/>
    <mergeCell ref="BF5:BH5"/>
    <mergeCell ref="BJ5:BL5"/>
    <mergeCell ref="BM5:BO5"/>
    <mergeCell ref="B4:D4"/>
    <mergeCell ref="E4:H4"/>
    <mergeCell ref="I4:L4"/>
    <mergeCell ref="M4:P4"/>
  </mergeCells>
  <phoneticPr fontId="2"/>
  <conditionalFormatting sqref="F21:F28 B21:B28 J21:J28 N21:N28">
    <cfRule type="expression" dxfId="14" priority="14" stopIfTrue="1">
      <formula>$B21&lt;&gt;""</formula>
    </cfRule>
  </conditionalFormatting>
  <conditionalFormatting sqref="D21:D28">
    <cfRule type="expression" dxfId="13" priority="13" stopIfTrue="1">
      <formula>$B21&lt;&gt;""</formula>
    </cfRule>
  </conditionalFormatting>
  <conditionalFormatting sqref="B21:C21">
    <cfRule type="expression" dxfId="12" priority="12" stopIfTrue="1">
      <formula>AND($B21="",$D21&lt;&gt;"")</formula>
    </cfRule>
  </conditionalFormatting>
  <conditionalFormatting sqref="B22:C28">
    <cfRule type="expression" dxfId="11" priority="11" stopIfTrue="1">
      <formula>AND($B22="",$D22&lt;&gt;"")</formula>
    </cfRule>
  </conditionalFormatting>
  <conditionalFormatting sqref="AO34:AQ34 AI30:AK33">
    <cfRule type="expression" dxfId="10" priority="15" stopIfTrue="1">
      <formula>SUM($AI$31:$AK$33)&lt;&gt;0</formula>
    </cfRule>
  </conditionalFormatting>
  <conditionalFormatting sqref="AI34:AK34">
    <cfRule type="expression" dxfId="9" priority="10" stopIfTrue="1">
      <formula>SUM($AI$31:$AK$33)&lt;&gt;0</formula>
    </cfRule>
  </conditionalFormatting>
  <conditionalFormatting sqref="D38:D45">
    <cfRule type="expression" dxfId="8" priority="7" stopIfTrue="1">
      <formula>$M38&lt;&gt;""</formula>
    </cfRule>
  </conditionalFormatting>
  <conditionalFormatting sqref="M38:M45">
    <cfRule type="expression" dxfId="7" priority="8" stopIfTrue="1">
      <formula>$B11&lt;&gt;""</formula>
    </cfRule>
  </conditionalFormatting>
  <conditionalFormatting sqref="T38:T45">
    <cfRule type="expression" dxfId="6" priority="9" stopIfTrue="1">
      <formula>$B11&lt;&gt;""</formula>
    </cfRule>
  </conditionalFormatting>
  <conditionalFormatting sqref="E38:E45">
    <cfRule type="expression" dxfId="5" priority="6" stopIfTrue="1">
      <formula>$B11&lt;&gt;""</formula>
    </cfRule>
  </conditionalFormatting>
  <conditionalFormatting sqref="G38:G45">
    <cfRule type="expression" dxfId="4" priority="5" stopIfTrue="1">
      <formula>$B11&lt;&gt;""</formula>
    </cfRule>
  </conditionalFormatting>
  <conditionalFormatting sqref="I38:I45">
    <cfRule type="expression" dxfId="3" priority="4" stopIfTrue="1">
      <formula>$B11&lt;&gt;""</formula>
    </cfRule>
  </conditionalFormatting>
  <conditionalFormatting sqref="K38:K45">
    <cfRule type="expression" dxfId="2" priority="3" stopIfTrue="1">
      <formula>$B11&lt;&gt;""</formula>
    </cfRule>
  </conditionalFormatting>
  <conditionalFormatting sqref="V21:V28">
    <cfRule type="expression" dxfId="1" priority="2" stopIfTrue="1">
      <formula>$B21&lt;&gt;""</formula>
    </cfRule>
  </conditionalFormatting>
  <conditionalFormatting sqref="E21:E28">
    <cfRule type="expression" dxfId="0" priority="1" stopIfTrue="1">
      <formula>$B21&lt;&gt;""</formula>
    </cfRule>
  </conditionalFormatting>
  <dataValidations count="2">
    <dataValidation type="list" allowBlank="1" showInputMessage="1" showErrorMessage="1" sqref="B21:C21">
      <formula1>$AM$38:$AM$39</formula1>
    </dataValidation>
    <dataValidation type="list" allowBlank="1" showInputMessage="1" showErrorMessage="1" sqref="B22:C28">
      <formula1>$AO$38</formula1>
    </dataValidation>
  </dataValidations>
  <printOptions horizontalCentered="1"/>
  <pageMargins left="0.39370078740157483" right="0.39370078740157483" top="0.39370078740157483" bottom="0.39370078740157483" header="0" footer="0"/>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Ｒ7年度飯塚市国保税試算表</vt:lpstr>
      <vt:lpstr>'Ｒ7年度飯塚市国保税試算表'!Print_Area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奥松　静香</cp:lastModifiedBy>
  <cp:lastPrinted>2025-03-21T01:04:53Z</cp:lastPrinted>
  <dcterms:created xsi:type="dcterms:W3CDTF">2002-08-14T05:50:39Z</dcterms:created>
  <dcterms:modified xsi:type="dcterms:W3CDTF">2025-03-26T07:07:05Z</dcterms:modified>
</cp:coreProperties>
</file>