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iizuka-n.local\飯塚市共有フォルダ\飯塚市\0104_市民環境部\010402_医療保険課\0104020_医療保険課_共通\医療総務係\CAB1\■□国民健康保険税□■\⑰庶務関係\★国保税目安表\試算表\"/>
    </mc:Choice>
  </mc:AlternateContent>
  <bookViews>
    <workbookView xWindow="0" yWindow="600" windowWidth="19200" windowHeight="12915" tabRatio="844"/>
  </bookViews>
  <sheets>
    <sheet name="Ｒ8年度飯塚市国保税試算表" sheetId="80" r:id="rId1"/>
  </sheets>
  <definedNames>
    <definedName name="_xlnm.Print_Area" localSheetId="0">'Ｒ8年度飯塚市国保税試算表'!$A$1:$AK$37</definedName>
  </definedNames>
  <calcPr calcId="152511"/>
</workbook>
</file>

<file path=xl/calcChain.xml><?xml version="1.0" encoding="utf-8"?>
<calcChain xmlns="http://schemas.openxmlformats.org/spreadsheetml/2006/main">
  <c r="K45" i="80" l="1"/>
  <c r="K44" i="80"/>
  <c r="K43" i="80"/>
  <c r="K42" i="80"/>
  <c r="K41" i="80"/>
  <c r="K40" i="80"/>
  <c r="K47" i="80"/>
  <c r="K46" i="80"/>
  <c r="AM40" i="80" l="1"/>
  <c r="AM41" i="80"/>
  <c r="AM42" i="80"/>
  <c r="AM43" i="80"/>
  <c r="AM44" i="80"/>
  <c r="AM45" i="80"/>
  <c r="AM46" i="80"/>
  <c r="AM47" i="80"/>
  <c r="AL40" i="80"/>
  <c r="AN40" i="80"/>
  <c r="E68" i="80"/>
  <c r="AZ223" i="80"/>
  <c r="AU213" i="80" s="1"/>
  <c r="BC213" i="80" s="1"/>
  <c r="AF40" i="80"/>
  <c r="AG40" i="80"/>
  <c r="AU216" i="80" l="1"/>
  <c r="BC216" i="80" s="1"/>
  <c r="AU211" i="80"/>
  <c r="BC211" i="80" s="1"/>
  <c r="AN41" i="80"/>
  <c r="AN42" i="80"/>
  <c r="AN43" i="80"/>
  <c r="AN44" i="80"/>
  <c r="AN45" i="80"/>
  <c r="AN46" i="80"/>
  <c r="AN47" i="80"/>
  <c r="AC41" i="80"/>
  <c r="AJ61" i="80"/>
  <c r="AD40" i="80"/>
  <c r="I40" i="80"/>
  <c r="G40" i="80"/>
  <c r="E40" i="80"/>
  <c r="AK40" i="80"/>
  <c r="AC40" i="80"/>
  <c r="AL41" i="80"/>
  <c r="AL42" i="80"/>
  <c r="AL43" i="80"/>
  <c r="AL44" i="80"/>
  <c r="AL45" i="80"/>
  <c r="AL46" i="80"/>
  <c r="AL47" i="80"/>
  <c r="AJ40" i="80"/>
  <c r="AE40" i="80"/>
  <c r="E125" i="80"/>
  <c r="E117" i="80"/>
  <c r="E116" i="80"/>
  <c r="E109" i="80"/>
  <c r="E101" i="80"/>
  <c r="E93" i="80"/>
  <c r="E85" i="80"/>
  <c r="E77" i="80"/>
  <c r="E69" i="80"/>
  <c r="AG41" i="80" l="1"/>
  <c r="AG42" i="80"/>
  <c r="AG43" i="80"/>
  <c r="AG44" i="80"/>
  <c r="AG45" i="80"/>
  <c r="AG46" i="80"/>
  <c r="AG47" i="80"/>
  <c r="AF41" i="80"/>
  <c r="AF42" i="80"/>
  <c r="AF43" i="80"/>
  <c r="AF44" i="80"/>
  <c r="AF45" i="80"/>
  <c r="AF46" i="80"/>
  <c r="AF47" i="80"/>
  <c r="AI40" i="80"/>
  <c r="K72" i="80" s="1"/>
  <c r="E76" i="80"/>
  <c r="K74" i="80" l="1"/>
  <c r="K71" i="80"/>
  <c r="K73" i="80"/>
  <c r="N73" i="80" s="1"/>
  <c r="AZ17" i="80"/>
  <c r="AU6" i="80" l="1"/>
  <c r="BC6" i="80" s="1"/>
  <c r="AU10" i="80"/>
  <c r="AU9" i="80"/>
  <c r="AU8" i="80"/>
  <c r="AU7" i="80"/>
  <c r="AU5" i="80"/>
  <c r="G42" i="80"/>
  <c r="G43" i="80"/>
  <c r="G44" i="80"/>
  <c r="G45" i="80"/>
  <c r="G46" i="80"/>
  <c r="G47" i="80"/>
  <c r="G41" i="80"/>
  <c r="BO53" i="80" l="1"/>
  <c r="CA18" i="80"/>
  <c r="BO18" i="80"/>
  <c r="E100" i="80"/>
  <c r="E84" i="80" l="1"/>
  <c r="BN227" i="80"/>
  <c r="BZ227" i="80" s="1"/>
  <c r="CA224" i="80"/>
  <c r="BO224" i="80"/>
  <c r="BL223" i="80"/>
  <c r="BG212" i="80" s="1"/>
  <c r="BO212" i="80" s="1"/>
  <c r="BG214" i="80"/>
  <c r="BO214" i="80" s="1"/>
  <c r="BG213" i="80"/>
  <c r="BO213" i="80" s="1"/>
  <c r="BN200" i="80"/>
  <c r="BZ200" i="80" s="1"/>
  <c r="CA197" i="80"/>
  <c r="BO197" i="80"/>
  <c r="BL196" i="80"/>
  <c r="AZ196" i="80"/>
  <c r="BN173" i="80"/>
  <c r="BZ173" i="80" s="1"/>
  <c r="CA170" i="80"/>
  <c r="BO170" i="80"/>
  <c r="BL169" i="80"/>
  <c r="BG157" i="80" s="1"/>
  <c r="BO157" i="80" s="1"/>
  <c r="AZ169" i="80"/>
  <c r="AU162" i="80" s="1"/>
  <c r="BN146" i="80"/>
  <c r="BZ146" i="80" s="1"/>
  <c r="CA143" i="80"/>
  <c r="BO143" i="80"/>
  <c r="BL142" i="80"/>
  <c r="BX142" i="80" s="1"/>
  <c r="AZ142" i="80"/>
  <c r="AU135" i="80" s="1"/>
  <c r="BG134" i="80"/>
  <c r="BO134" i="80" s="1"/>
  <c r="BG133" i="80"/>
  <c r="BO133" i="80" s="1"/>
  <c r="BN119" i="80"/>
  <c r="E124" i="80"/>
  <c r="CA114" i="80"/>
  <c r="BO114" i="80"/>
  <c r="BL113" i="80"/>
  <c r="BX113" i="80" s="1"/>
  <c r="AZ113" i="80"/>
  <c r="AU106" i="80" s="1"/>
  <c r="BC106" i="80" s="1"/>
  <c r="AU104" i="80"/>
  <c r="BC104" i="80" s="1"/>
  <c r="E108" i="80"/>
  <c r="E92" i="80"/>
  <c r="BN86" i="80"/>
  <c r="BZ86" i="80" s="1"/>
  <c r="CA83" i="80"/>
  <c r="BO83" i="80"/>
  <c r="BL82" i="80"/>
  <c r="AZ82" i="80"/>
  <c r="AU74" i="80" s="1"/>
  <c r="BC74" i="80" s="1"/>
  <c r="P64" i="80"/>
  <c r="P65" i="80" s="1"/>
  <c r="E64" i="80"/>
  <c r="E65" i="80" s="1"/>
  <c r="BN56" i="80"/>
  <c r="E56" i="80"/>
  <c r="E57" i="80" s="1"/>
  <c r="CA53" i="80"/>
  <c r="R55" i="80"/>
  <c r="BL52" i="80"/>
  <c r="BX52" i="80" s="1"/>
  <c r="AZ52" i="80"/>
  <c r="AU45" i="80" s="1"/>
  <c r="AK47" i="80"/>
  <c r="AJ47" i="80"/>
  <c r="AI47" i="80"/>
  <c r="AE47" i="80"/>
  <c r="AD47" i="80"/>
  <c r="AC47" i="80"/>
  <c r="I47" i="80"/>
  <c r="E47" i="80"/>
  <c r="D47" i="80"/>
  <c r="AK46" i="80"/>
  <c r="AJ46" i="80"/>
  <c r="AI46" i="80"/>
  <c r="AE46" i="80"/>
  <c r="AD46" i="80"/>
  <c r="AC46" i="80"/>
  <c r="I46" i="80"/>
  <c r="E46" i="80"/>
  <c r="D46" i="80"/>
  <c r="AK45" i="80"/>
  <c r="AJ45" i="80"/>
  <c r="AI45" i="80"/>
  <c r="AE45" i="80"/>
  <c r="AD45" i="80"/>
  <c r="AC45" i="80"/>
  <c r="I45" i="80"/>
  <c r="E45" i="80"/>
  <c r="D45" i="80"/>
  <c r="AK44" i="80"/>
  <c r="AJ44" i="80"/>
  <c r="AI44" i="80"/>
  <c r="AE44" i="80"/>
  <c r="AD44" i="80"/>
  <c r="AC44" i="80"/>
  <c r="I44" i="80"/>
  <c r="E44" i="80"/>
  <c r="D44" i="80"/>
  <c r="AK43" i="80"/>
  <c r="AJ43" i="80"/>
  <c r="AI43" i="80"/>
  <c r="AE43" i="80"/>
  <c r="AD43" i="80"/>
  <c r="AC43" i="80"/>
  <c r="I43" i="80"/>
  <c r="E43" i="80"/>
  <c r="D43" i="80"/>
  <c r="AK42" i="80"/>
  <c r="AJ42" i="80"/>
  <c r="AI42" i="80"/>
  <c r="AE42" i="80"/>
  <c r="AD42" i="80"/>
  <c r="AC42" i="80"/>
  <c r="I42" i="80"/>
  <c r="E42" i="80"/>
  <c r="D42" i="80"/>
  <c r="AK41" i="80"/>
  <c r="AJ41" i="80"/>
  <c r="AI41" i="80"/>
  <c r="AE41" i="80"/>
  <c r="AD41" i="80"/>
  <c r="I41" i="80"/>
  <c r="E41" i="80"/>
  <c r="D41" i="80"/>
  <c r="D40" i="80"/>
  <c r="BN21" i="80"/>
  <c r="BZ21" i="80" s="1"/>
  <c r="BL17" i="80"/>
  <c r="BG132" i="80" l="1"/>
  <c r="BO132" i="80" s="1"/>
  <c r="K130" i="80"/>
  <c r="K106" i="80"/>
  <c r="N106" i="80" s="1"/>
  <c r="K90" i="80"/>
  <c r="N90" i="80" s="1"/>
  <c r="K122" i="80"/>
  <c r="N122" i="80" s="1"/>
  <c r="K98" i="80"/>
  <c r="K114" i="80"/>
  <c r="AU189" i="80"/>
  <c r="BC189" i="80" s="1"/>
  <c r="AU131" i="80"/>
  <c r="BC131" i="80" s="1"/>
  <c r="K79" i="80"/>
  <c r="K82" i="80"/>
  <c r="N32" i="80"/>
  <c r="K80" i="80"/>
  <c r="K88" i="80"/>
  <c r="K81" i="80"/>
  <c r="N81" i="80" s="1"/>
  <c r="AU41" i="80"/>
  <c r="BC41" i="80" s="1"/>
  <c r="BG161" i="80"/>
  <c r="BO161" i="80" s="1"/>
  <c r="BG8" i="80"/>
  <c r="BO8" i="80" s="1"/>
  <c r="BX223" i="80"/>
  <c r="BS214" i="80" s="1"/>
  <c r="CA214" i="80" s="1"/>
  <c r="AU184" i="80"/>
  <c r="BC184" i="80" s="1"/>
  <c r="BG73" i="80"/>
  <c r="BO73" i="80" s="1"/>
  <c r="AU186" i="80"/>
  <c r="BC186" i="80" s="1"/>
  <c r="AU185" i="80"/>
  <c r="BC185" i="80" s="1"/>
  <c r="AU187" i="80"/>
  <c r="BC187" i="80" s="1"/>
  <c r="BG159" i="80"/>
  <c r="BO159" i="80" s="1"/>
  <c r="AU188" i="80"/>
  <c r="BC188" i="80" s="1"/>
  <c r="BG69" i="80"/>
  <c r="BO69" i="80" s="1"/>
  <c r="AU40" i="80"/>
  <c r="BC40" i="80" s="1"/>
  <c r="BS133" i="80"/>
  <c r="CA133" i="80" s="1"/>
  <c r="BS132" i="80"/>
  <c r="CA132" i="80" s="1"/>
  <c r="BS130" i="80"/>
  <c r="CA130" i="80" s="1"/>
  <c r="BS131" i="80"/>
  <c r="CA131" i="80" s="1"/>
  <c r="BS134" i="80"/>
  <c r="CA134" i="80" s="1"/>
  <c r="AU158" i="80"/>
  <c r="BC158" i="80" s="1"/>
  <c r="I48" i="80"/>
  <c r="O56" i="80" s="1"/>
  <c r="Y65" i="80" s="1"/>
  <c r="K103" i="80"/>
  <c r="K105" i="80"/>
  <c r="N105" i="80" s="1"/>
  <c r="K104" i="80"/>
  <c r="AU43" i="80"/>
  <c r="BC43" i="80" s="1"/>
  <c r="AU101" i="80"/>
  <c r="BC101" i="80" s="1"/>
  <c r="BG131" i="80"/>
  <c r="BO131" i="80" s="1"/>
  <c r="BG158" i="80"/>
  <c r="BO158" i="80" s="1"/>
  <c r="AU160" i="80"/>
  <c r="BC160" i="80" s="1"/>
  <c r="BX169" i="80"/>
  <c r="BS159" i="80" s="1"/>
  <c r="CA159" i="80" s="1"/>
  <c r="K113" i="80"/>
  <c r="N113" i="80" s="1"/>
  <c r="K112" i="80"/>
  <c r="K111" i="80"/>
  <c r="BG43" i="80"/>
  <c r="BO43" i="80" s="1"/>
  <c r="AU69" i="80"/>
  <c r="BC69" i="80" s="1"/>
  <c r="AU157" i="80"/>
  <c r="BC157" i="80" s="1"/>
  <c r="BG160" i="80"/>
  <c r="BO160" i="80" s="1"/>
  <c r="AU214" i="80"/>
  <c r="BC214" i="80" s="1"/>
  <c r="BG187" i="80"/>
  <c r="BO187" i="80" s="1"/>
  <c r="AU42" i="80"/>
  <c r="BC42" i="80" s="1"/>
  <c r="BC45" i="80"/>
  <c r="K119" i="80"/>
  <c r="K120" i="80"/>
  <c r="K121" i="80"/>
  <c r="N121" i="80" s="1"/>
  <c r="K129" i="80"/>
  <c r="N129" i="80" s="1"/>
  <c r="K128" i="80"/>
  <c r="K127" i="80"/>
  <c r="BG44" i="80"/>
  <c r="BO44" i="80" s="1"/>
  <c r="AU73" i="80"/>
  <c r="BC73" i="80" s="1"/>
  <c r="AU105" i="80"/>
  <c r="BC105" i="80" s="1"/>
  <c r="BG130" i="80"/>
  <c r="BO130" i="80" s="1"/>
  <c r="AU159" i="80"/>
  <c r="BC159" i="80" s="1"/>
  <c r="AU161" i="80"/>
  <c r="BC161" i="80" s="1"/>
  <c r="BG186" i="80"/>
  <c r="BO186" i="80" s="1"/>
  <c r="AU212" i="80"/>
  <c r="BC212" i="80" s="1"/>
  <c r="AU215" i="80"/>
  <c r="BC215" i="80" s="1"/>
  <c r="BG41" i="80"/>
  <c r="BO41" i="80" s="1"/>
  <c r="BC10" i="80"/>
  <c r="BC7" i="80"/>
  <c r="BC8" i="80"/>
  <c r="BC5" i="80"/>
  <c r="BC9" i="80"/>
  <c r="AU71" i="80"/>
  <c r="BC71" i="80" s="1"/>
  <c r="AU44" i="80"/>
  <c r="BC44" i="80" s="1"/>
  <c r="BG71" i="80"/>
  <c r="BO71" i="80" s="1"/>
  <c r="AU103" i="80"/>
  <c r="BC103" i="80" s="1"/>
  <c r="K95" i="80"/>
  <c r="AU72" i="80"/>
  <c r="BC72" i="80" s="1"/>
  <c r="K96" i="80"/>
  <c r="K89" i="80"/>
  <c r="N89" i="80" s="1"/>
  <c r="K87" i="80"/>
  <c r="K97" i="80"/>
  <c r="N97" i="80" s="1"/>
  <c r="BG70" i="80"/>
  <c r="BO70" i="80" s="1"/>
  <c r="AU102" i="80"/>
  <c r="BC102" i="80" s="1"/>
  <c r="BG40" i="80"/>
  <c r="BO40" i="80" s="1"/>
  <c r="BG42" i="80"/>
  <c r="BO42" i="80" s="1"/>
  <c r="BX17" i="80"/>
  <c r="BS7" i="80" s="1"/>
  <c r="CA7" i="80" s="1"/>
  <c r="BG5" i="80"/>
  <c r="BO5" i="80" s="1"/>
  <c r="BG7" i="80"/>
  <c r="BO7" i="80" s="1"/>
  <c r="BG9" i="80"/>
  <c r="BO9" i="80" s="1"/>
  <c r="BG6" i="80"/>
  <c r="BO6" i="80" s="1"/>
  <c r="N33" i="80"/>
  <c r="E48" i="80"/>
  <c r="N72" i="80" s="1"/>
  <c r="K48" i="80"/>
  <c r="E50" i="80" s="1"/>
  <c r="BZ119" i="80"/>
  <c r="BS101" i="80" s="1"/>
  <c r="CA101" i="80" s="1"/>
  <c r="BG104" i="80"/>
  <c r="BO104" i="80" s="1"/>
  <c r="BG103" i="80"/>
  <c r="BO103" i="80" s="1"/>
  <c r="BZ56" i="80"/>
  <c r="BS40" i="80" s="1"/>
  <c r="CA40" i="80" s="1"/>
  <c r="AU70" i="80"/>
  <c r="BC70" i="80" s="1"/>
  <c r="BX82" i="80"/>
  <c r="AU130" i="80"/>
  <c r="BC130" i="80" s="1"/>
  <c r="BC162" i="80"/>
  <c r="BG185" i="80"/>
  <c r="BO185" i="80" s="1"/>
  <c r="BX196" i="80"/>
  <c r="BG211" i="80"/>
  <c r="BO211" i="80" s="1"/>
  <c r="BG215" i="80"/>
  <c r="BO215" i="80" s="1"/>
  <c r="BC135" i="80"/>
  <c r="BG184" i="80"/>
  <c r="BO184" i="80" s="1"/>
  <c r="BG105" i="80"/>
  <c r="BO105" i="80" s="1"/>
  <c r="AU134" i="80"/>
  <c r="BC134" i="80" s="1"/>
  <c r="BG102" i="80"/>
  <c r="BO102" i="80" s="1"/>
  <c r="AU133" i="80"/>
  <c r="BC133" i="80" s="1"/>
  <c r="BG188" i="80"/>
  <c r="BO188" i="80" s="1"/>
  <c r="BG72" i="80"/>
  <c r="BO72" i="80" s="1"/>
  <c r="BG101" i="80"/>
  <c r="BO101" i="80" s="1"/>
  <c r="AU132" i="80"/>
  <c r="BC132" i="80" s="1"/>
  <c r="N130" i="80" l="1"/>
  <c r="N98" i="80"/>
  <c r="N114" i="80"/>
  <c r="N71" i="80"/>
  <c r="N74" i="80"/>
  <c r="K35" i="80"/>
  <c r="N35" i="80" s="1"/>
  <c r="N82" i="80"/>
  <c r="K32" i="80"/>
  <c r="K33" i="80"/>
  <c r="AZ224" i="80"/>
  <c r="AZ229" i="80" s="1"/>
  <c r="N127" i="80"/>
  <c r="N119" i="80"/>
  <c r="AZ18" i="80"/>
  <c r="AZ23" i="80" s="1"/>
  <c r="N128" i="80"/>
  <c r="N120" i="80"/>
  <c r="N103" i="80"/>
  <c r="N112" i="80"/>
  <c r="N111" i="80"/>
  <c r="N104" i="80"/>
  <c r="N96" i="80"/>
  <c r="N95" i="80"/>
  <c r="AZ197" i="80"/>
  <c r="AZ202" i="80" s="1"/>
  <c r="BL170" i="80"/>
  <c r="AZ176" i="80" s="1"/>
  <c r="BL143" i="80"/>
  <c r="AZ149" i="80" s="1"/>
  <c r="BS211" i="80"/>
  <c r="CA211" i="80" s="1"/>
  <c r="BS212" i="80"/>
  <c r="CA212" i="80" s="1"/>
  <c r="BS213" i="80"/>
  <c r="CA213" i="80" s="1"/>
  <c r="BS215" i="80"/>
  <c r="CA215" i="80" s="1"/>
  <c r="BX224" i="80" s="1"/>
  <c r="K136" i="80"/>
  <c r="BS161" i="80"/>
  <c r="CA161" i="80" s="1"/>
  <c r="BL224" i="80"/>
  <c r="AZ170" i="80"/>
  <c r="AZ175" i="80" s="1"/>
  <c r="BS6" i="80"/>
  <c r="CA6" i="80" s="1"/>
  <c r="BS102" i="80"/>
  <c r="CA102" i="80" s="1"/>
  <c r="R56" i="80"/>
  <c r="O57" i="80"/>
  <c r="R57" i="80" s="1"/>
  <c r="Y64" i="80"/>
  <c r="BS103" i="80"/>
  <c r="CA103" i="80" s="1"/>
  <c r="BS157" i="80"/>
  <c r="CA157" i="80" s="1"/>
  <c r="BS160" i="80"/>
  <c r="CA160" i="80" s="1"/>
  <c r="BS158" i="80"/>
  <c r="CA158" i="80" s="1"/>
  <c r="BX143" i="80"/>
  <c r="BS43" i="80"/>
  <c r="CA43" i="80" s="1"/>
  <c r="N88" i="80"/>
  <c r="N87" i="80"/>
  <c r="N79" i="80"/>
  <c r="BS104" i="80"/>
  <c r="CA104" i="80" s="1"/>
  <c r="BS105" i="80"/>
  <c r="CA105" i="80" s="1"/>
  <c r="BS44" i="80"/>
  <c r="CA44" i="80" s="1"/>
  <c r="AZ114" i="80"/>
  <c r="AZ121" i="80" s="1"/>
  <c r="BL83" i="80"/>
  <c r="AZ94" i="80" s="1"/>
  <c r="AZ83" i="80"/>
  <c r="AZ90" i="80" s="1"/>
  <c r="BS41" i="80"/>
  <c r="CA41" i="80" s="1"/>
  <c r="N80" i="80"/>
  <c r="AZ53" i="80"/>
  <c r="AZ58" i="80" s="1"/>
  <c r="BS9" i="80"/>
  <c r="CA9" i="80" s="1"/>
  <c r="BL53" i="80"/>
  <c r="AZ62" i="80" s="1"/>
  <c r="BS8" i="80"/>
  <c r="CA8" i="80" s="1"/>
  <c r="BS5" i="80"/>
  <c r="CA5" i="80" s="1"/>
  <c r="BL18" i="80"/>
  <c r="AZ143" i="80"/>
  <c r="AZ148" i="80" s="1"/>
  <c r="BL114" i="80"/>
  <c r="BS184" i="80"/>
  <c r="CA184" i="80" s="1"/>
  <c r="BS185" i="80"/>
  <c r="CA185" i="80" s="1"/>
  <c r="BS186" i="80"/>
  <c r="CA186" i="80" s="1"/>
  <c r="BS187" i="80"/>
  <c r="CA187" i="80" s="1"/>
  <c r="BS188" i="80"/>
  <c r="CA188" i="80" s="1"/>
  <c r="K34" i="80"/>
  <c r="N34" i="80" s="1"/>
  <c r="K135" i="80"/>
  <c r="BL197" i="80"/>
  <c r="BS70" i="80"/>
  <c r="CA70" i="80" s="1"/>
  <c r="BS69" i="80"/>
  <c r="CA69" i="80" s="1"/>
  <c r="BS71" i="80"/>
  <c r="CA71" i="80" s="1"/>
  <c r="BS73" i="80"/>
  <c r="CA73" i="80" s="1"/>
  <c r="BS72" i="80"/>
  <c r="CA72" i="80" s="1"/>
  <c r="BS42" i="80"/>
  <c r="CA42" i="80" s="1"/>
  <c r="K133" i="80"/>
  <c r="K134" i="80"/>
  <c r="K63" i="80"/>
  <c r="AB63" i="80" s="1"/>
  <c r="K65" i="80"/>
  <c r="AB65" i="80" s="1"/>
  <c r="K64" i="80"/>
  <c r="AZ152" i="80" l="1"/>
  <c r="M44" i="80" s="1"/>
  <c r="M41" i="80"/>
  <c r="AZ179" i="80"/>
  <c r="M45" i="80" s="1"/>
  <c r="N136" i="80"/>
  <c r="AZ177" i="80"/>
  <c r="X45" i="80" s="1"/>
  <c r="R27" i="80" s="1"/>
  <c r="T45" i="80" s="1"/>
  <c r="BX114" i="80"/>
  <c r="AZ233" i="80"/>
  <c r="M47" i="80" s="1"/>
  <c r="AZ230" i="80"/>
  <c r="AZ231" i="80" s="1"/>
  <c r="AZ91" i="80"/>
  <c r="AZ92" i="80" s="1"/>
  <c r="X42" i="80" s="1"/>
  <c r="R24" i="80" s="1"/>
  <c r="T42" i="80" s="1"/>
  <c r="H90" i="80" s="1"/>
  <c r="BX170" i="80"/>
  <c r="AG52" i="80"/>
  <c r="AB64" i="80"/>
  <c r="AG53" i="80" s="1"/>
  <c r="N134" i="80"/>
  <c r="N133" i="80"/>
  <c r="M42" i="80"/>
  <c r="BX53" i="80"/>
  <c r="AZ59" i="80"/>
  <c r="AZ60" i="80" s="1"/>
  <c r="X41" i="80" s="1"/>
  <c r="R23" i="80" s="1"/>
  <c r="T41" i="80" s="1"/>
  <c r="BX18" i="80"/>
  <c r="AZ24" i="80"/>
  <c r="AZ25" i="80" s="1"/>
  <c r="AZ27" i="80"/>
  <c r="M40" i="80" s="1"/>
  <c r="BX197" i="80"/>
  <c r="BX83" i="80"/>
  <c r="AZ150" i="80"/>
  <c r="X44" i="80" s="1"/>
  <c r="R26" i="80" s="1"/>
  <c r="T44" i="80" s="1"/>
  <c r="AG54" i="80"/>
  <c r="N135" i="80"/>
  <c r="AZ125" i="80"/>
  <c r="M43" i="80" s="1"/>
  <c r="AZ122" i="80"/>
  <c r="AZ123" i="80" s="1"/>
  <c r="X43" i="80" s="1"/>
  <c r="R25" i="80" s="1"/>
  <c r="T43" i="80" s="1"/>
  <c r="AZ206" i="80"/>
  <c r="M46" i="80" s="1"/>
  <c r="AZ203" i="80"/>
  <c r="AZ204" i="80" s="1"/>
  <c r="X46" i="80" s="1"/>
  <c r="R28" i="80" s="1"/>
  <c r="T46" i="80" s="1"/>
  <c r="Q40" i="80" l="1"/>
  <c r="AC39" i="80"/>
  <c r="Q32" i="80" s="1"/>
  <c r="X47" i="80"/>
  <c r="R29" i="80" s="1"/>
  <c r="T47" i="80" s="1"/>
  <c r="X40" i="80"/>
  <c r="R22" i="80" s="1"/>
  <c r="T40" i="80" s="1"/>
  <c r="H79" i="80"/>
  <c r="E81" i="80"/>
  <c r="E80" i="80"/>
  <c r="E79" i="80"/>
  <c r="H98" i="80"/>
  <c r="E97" i="80"/>
  <c r="E98" i="80"/>
  <c r="H82" i="80"/>
  <c r="E82" i="80"/>
  <c r="H121" i="80"/>
  <c r="E119" i="80"/>
  <c r="E120" i="80"/>
  <c r="H120" i="80"/>
  <c r="H119" i="80"/>
  <c r="E122" i="80"/>
  <c r="H122" i="80"/>
  <c r="E121" i="80"/>
  <c r="E111" i="80"/>
  <c r="H114" i="80"/>
  <c r="E113" i="80"/>
  <c r="E114" i="80"/>
  <c r="E112" i="80"/>
  <c r="H113" i="80"/>
  <c r="H111" i="80"/>
  <c r="H112" i="80"/>
  <c r="E104" i="80"/>
  <c r="E106" i="80"/>
  <c r="H106" i="80"/>
  <c r="E103" i="80"/>
  <c r="E105" i="80"/>
  <c r="H103" i="80"/>
  <c r="H105" i="80"/>
  <c r="H104" i="80"/>
  <c r="E90" i="80"/>
  <c r="E89" i="80"/>
  <c r="H87" i="80"/>
  <c r="H89" i="80"/>
  <c r="E87" i="80"/>
  <c r="H88" i="80"/>
  <c r="E88" i="80"/>
  <c r="H81" i="80"/>
  <c r="H80" i="80"/>
  <c r="H96" i="80"/>
  <c r="H95" i="80"/>
  <c r="E96" i="80"/>
  <c r="H97" i="80"/>
  <c r="E95" i="80"/>
  <c r="H32" i="80" l="1"/>
  <c r="E35" i="80"/>
  <c r="E34" i="80"/>
  <c r="H35" i="80"/>
  <c r="H34" i="80"/>
  <c r="H74" i="80"/>
  <c r="E129" i="80"/>
  <c r="E128" i="80"/>
  <c r="H127" i="80"/>
  <c r="H130" i="80"/>
  <c r="E127" i="80"/>
  <c r="E130" i="80"/>
  <c r="H128" i="80"/>
  <c r="H129" i="80"/>
  <c r="X48" i="80"/>
  <c r="T48" i="80"/>
  <c r="H71" i="80"/>
  <c r="E71" i="80"/>
  <c r="H73" i="80"/>
  <c r="E32" i="80"/>
  <c r="H72" i="80"/>
  <c r="E74" i="80"/>
  <c r="H33" i="80"/>
  <c r="E72" i="80"/>
  <c r="E33" i="80"/>
  <c r="E73" i="80"/>
  <c r="AI39" i="80"/>
  <c r="AJ39" i="80" s="1"/>
  <c r="AK39" i="80" s="1"/>
  <c r="E134" i="80" l="1"/>
  <c r="E136" i="80"/>
  <c r="H133" i="80"/>
  <c r="H136" i="80"/>
  <c r="E135" i="80"/>
  <c r="H135" i="80"/>
  <c r="E133" i="80"/>
  <c r="H134" i="80"/>
  <c r="AD39" i="80"/>
  <c r="T130" i="80" s="1"/>
  <c r="Q114" i="80"/>
  <c r="Q122" i="80"/>
  <c r="Q130" i="80"/>
  <c r="Q98" i="80"/>
  <c r="Q106" i="80"/>
  <c r="Q82" i="80"/>
  <c r="Q90" i="80"/>
  <c r="Q136" i="80"/>
  <c r="Q74" i="80"/>
  <c r="Q35" i="80"/>
  <c r="Q73" i="80"/>
  <c r="Q113" i="80"/>
  <c r="Q135" i="80"/>
  <c r="Q79" i="80"/>
  <c r="Q134" i="80"/>
  <c r="Q81" i="80"/>
  <c r="Q121" i="80"/>
  <c r="Q80" i="80"/>
  <c r="Q119" i="80"/>
  <c r="Q97" i="80"/>
  <c r="Q128" i="80"/>
  <c r="Q33" i="80"/>
  <c r="Q104" i="80"/>
  <c r="Q72" i="80"/>
  <c r="Q87" i="80"/>
  <c r="Q103" i="80"/>
  <c r="Q34" i="80"/>
  <c r="Q105" i="80"/>
  <c r="Q120" i="80"/>
  <c r="Q133" i="80"/>
  <c r="Q88" i="80"/>
  <c r="Q96" i="80"/>
  <c r="Q111" i="80"/>
  <c r="Q129" i="80"/>
  <c r="Q71" i="80"/>
  <c r="Q89" i="80"/>
  <c r="Q95" i="80"/>
  <c r="Q112" i="80"/>
  <c r="Q127" i="80"/>
  <c r="T106" i="80" l="1"/>
  <c r="T122" i="80"/>
  <c r="T90" i="80"/>
  <c r="T98" i="80"/>
  <c r="T114" i="80"/>
  <c r="T82" i="80"/>
  <c r="T72" i="80"/>
  <c r="T71" i="80"/>
  <c r="T119" i="80"/>
  <c r="T105" i="80"/>
  <c r="T81" i="80"/>
  <c r="T128" i="80"/>
  <c r="T104" i="80"/>
  <c r="T80" i="80"/>
  <c r="T113" i="80"/>
  <c r="T112" i="80"/>
  <c r="T88" i="80"/>
  <c r="T87" i="80"/>
  <c r="T121" i="80"/>
  <c r="T97" i="80"/>
  <c r="T120" i="80"/>
  <c r="T96" i="80"/>
  <c r="T95" i="80"/>
  <c r="T74" i="80"/>
  <c r="T129" i="80"/>
  <c r="T127" i="80"/>
  <c r="T103" i="80"/>
  <c r="T79" i="80"/>
  <c r="T89" i="80"/>
  <c r="T111" i="80"/>
  <c r="T73" i="80"/>
  <c r="AE39" i="80"/>
  <c r="W130" i="80" l="1"/>
  <c r="AA130" i="80" s="1"/>
  <c r="AE130" i="80" s="1"/>
  <c r="W106" i="80"/>
  <c r="AA106" i="80" s="1"/>
  <c r="AE106" i="80" s="1"/>
  <c r="W82" i="80"/>
  <c r="AA82" i="80" s="1"/>
  <c r="AE82" i="80" s="1"/>
  <c r="W128" i="80"/>
  <c r="AA128" i="80" s="1"/>
  <c r="AE128" i="80" s="1"/>
  <c r="W104" i="80"/>
  <c r="AA104" i="80" s="1"/>
  <c r="AE104" i="80" s="1"/>
  <c r="W74" i="80"/>
  <c r="AA74" i="80" s="1"/>
  <c r="AE74" i="80" s="1"/>
  <c r="W103" i="80"/>
  <c r="AA103" i="80" s="1"/>
  <c r="AE103" i="80" s="1"/>
  <c r="W79" i="80"/>
  <c r="AA79" i="80" s="1"/>
  <c r="AE79" i="80" s="1"/>
  <c r="W113" i="80"/>
  <c r="AA113" i="80" s="1"/>
  <c r="AE113" i="80" s="1"/>
  <c r="W111" i="80"/>
  <c r="AA111" i="80" s="1"/>
  <c r="AE111" i="80" s="1"/>
  <c r="W87" i="80"/>
  <c r="AA87" i="80" s="1"/>
  <c r="AE87" i="80" s="1"/>
  <c r="W122" i="80"/>
  <c r="AA122" i="80" s="1"/>
  <c r="AE122" i="80" s="1"/>
  <c r="W121" i="80"/>
  <c r="AA121" i="80" s="1"/>
  <c r="AE121" i="80" s="1"/>
  <c r="W97" i="80"/>
  <c r="AA97" i="80" s="1"/>
  <c r="AE97" i="80" s="1"/>
  <c r="W120" i="80"/>
  <c r="AA120" i="80" s="1"/>
  <c r="AE120" i="80" s="1"/>
  <c r="W119" i="80"/>
  <c r="AA119" i="80" s="1"/>
  <c r="AE119" i="80" s="1"/>
  <c r="W129" i="80"/>
  <c r="AA129" i="80" s="1"/>
  <c r="AE129" i="80" s="1"/>
  <c r="W105" i="80"/>
  <c r="AA105" i="80" s="1"/>
  <c r="AE105" i="80" s="1"/>
  <c r="W81" i="80"/>
  <c r="AA81" i="80" s="1"/>
  <c r="AE81" i="80" s="1"/>
  <c r="W80" i="80"/>
  <c r="AA80" i="80" s="1"/>
  <c r="AE80" i="80" s="1"/>
  <c r="W127" i="80"/>
  <c r="AA127" i="80" s="1"/>
  <c r="AE127" i="80" s="1"/>
  <c r="W114" i="80"/>
  <c r="AA114" i="80" s="1"/>
  <c r="AE114" i="80" s="1"/>
  <c r="W90" i="80"/>
  <c r="AA90" i="80" s="1"/>
  <c r="AE90" i="80" s="1"/>
  <c r="W32" i="80"/>
  <c r="W89" i="80"/>
  <c r="AA89" i="80" s="1"/>
  <c r="AE89" i="80" s="1"/>
  <c r="W33" i="80"/>
  <c r="W112" i="80"/>
  <c r="AA112" i="80" s="1"/>
  <c r="AE112" i="80" s="1"/>
  <c r="W88" i="80"/>
  <c r="AA88" i="80" s="1"/>
  <c r="AE88" i="80" s="1"/>
  <c r="W34" i="80"/>
  <c r="W35" i="80"/>
  <c r="W98" i="80"/>
  <c r="AA98" i="80" s="1"/>
  <c r="AE98" i="80" s="1"/>
  <c r="W73" i="80"/>
  <c r="AA73" i="80" s="1"/>
  <c r="AE73" i="80" s="1"/>
  <c r="W72" i="80"/>
  <c r="AA72" i="80" s="1"/>
  <c r="AE72" i="80" s="1"/>
  <c r="W96" i="80"/>
  <c r="AA96" i="80" s="1"/>
  <c r="AE96" i="80" s="1"/>
  <c r="W71" i="80"/>
  <c r="AA71" i="80" s="1"/>
  <c r="AE71" i="80" s="1"/>
  <c r="W95" i="80"/>
  <c r="AA95" i="80" s="1"/>
  <c r="AE95" i="80" s="1"/>
  <c r="T32" i="80"/>
  <c r="T35" i="80"/>
  <c r="T136" i="80"/>
  <c r="T134" i="80"/>
  <c r="T135" i="80"/>
  <c r="T33" i="80"/>
  <c r="T133" i="80"/>
  <c r="T34" i="80"/>
  <c r="AA32" i="80" l="1"/>
  <c r="AE32" i="80" s="1"/>
  <c r="W136" i="80"/>
  <c r="AA35" i="80"/>
  <c r="AE35" i="80" s="1"/>
  <c r="AA33" i="80"/>
  <c r="AE33" i="80" s="1"/>
  <c r="AA34" i="80"/>
  <c r="AE34" i="80" s="1"/>
  <c r="W135" i="80"/>
  <c r="AA135" i="80"/>
  <c r="AE135" i="80" s="1"/>
  <c r="W134" i="80"/>
  <c r="AA133" i="80"/>
  <c r="AE133" i="80" s="1"/>
  <c r="AA134" i="80"/>
  <c r="AE134" i="80" s="1"/>
  <c r="W133" i="80"/>
  <c r="AE36" i="80" l="1"/>
  <c r="AA136" i="80"/>
  <c r="AE136" i="80" s="1"/>
</calcChain>
</file>

<file path=xl/comments1.xml><?xml version="1.0" encoding="utf-8"?>
<comments xmlns="http://schemas.openxmlformats.org/spreadsheetml/2006/main">
  <authors>
    <author>飯塚市役所</author>
  </authors>
  <commentList>
    <comment ref="AC39" authorId="0" shapeId="0">
      <text>
        <r>
          <rPr>
            <b/>
            <sz val="9"/>
            <color indexed="81"/>
            <rFont val="ＭＳ Ｐゴシック"/>
            <family val="3"/>
            <charset val="128"/>
          </rPr>
          <t>軽減割合</t>
        </r>
      </text>
    </comment>
    <comment ref="AI39" authorId="0" shapeId="0">
      <text>
        <r>
          <rPr>
            <b/>
            <sz val="9"/>
            <color indexed="81"/>
            <rFont val="ＭＳ Ｐゴシック"/>
            <family val="3"/>
            <charset val="128"/>
          </rPr>
          <t>軽減割合</t>
        </r>
      </text>
    </comment>
  </commentList>
</comments>
</file>

<file path=xl/sharedStrings.xml><?xml version="1.0" encoding="utf-8"?>
<sst xmlns="http://schemas.openxmlformats.org/spreadsheetml/2006/main" count="803" uniqueCount="113">
  <si>
    <t>＝</t>
    <phoneticPr fontId="2"/>
  </si>
  <si>
    <t>医療分</t>
    <rPh sb="0" eb="2">
      <t>イリョウ</t>
    </rPh>
    <rPh sb="2" eb="3">
      <t>ブン</t>
    </rPh>
    <phoneticPr fontId="2"/>
  </si>
  <si>
    <t>支援分</t>
    <rPh sb="0" eb="2">
      <t>シエン</t>
    </rPh>
    <rPh sb="2" eb="3">
      <t>ブン</t>
    </rPh>
    <phoneticPr fontId="2"/>
  </si>
  <si>
    <t>介護分</t>
    <rPh sb="0" eb="2">
      <t>カイゴ</t>
    </rPh>
    <rPh sb="2" eb="3">
      <t>ブン</t>
    </rPh>
    <phoneticPr fontId="2"/>
  </si>
  <si>
    <t>所得割</t>
    <rPh sb="0" eb="2">
      <t>ショトク</t>
    </rPh>
    <rPh sb="2" eb="3">
      <t>ワリ</t>
    </rPh>
    <phoneticPr fontId="2"/>
  </si>
  <si>
    <t>平等割</t>
    <rPh sb="0" eb="2">
      <t>ビョウドウ</t>
    </rPh>
    <rPh sb="2" eb="3">
      <t>ワリ</t>
    </rPh>
    <phoneticPr fontId="2"/>
  </si>
  <si>
    <t>軽減割合</t>
    <rPh sb="0" eb="2">
      <t>ケイゲン</t>
    </rPh>
    <rPh sb="2" eb="4">
      <t>ワリアイ</t>
    </rPh>
    <phoneticPr fontId="2"/>
  </si>
  <si>
    <t>①所得割</t>
    <rPh sb="1" eb="3">
      <t>ショトク</t>
    </rPh>
    <rPh sb="3" eb="4">
      <t>ワリ</t>
    </rPh>
    <phoneticPr fontId="2"/>
  </si>
  <si>
    <t>→</t>
    <phoneticPr fontId="2"/>
  </si>
  <si>
    <t>１．税率</t>
    <rPh sb="2" eb="4">
      <t>ゼイリツ</t>
    </rPh>
    <phoneticPr fontId="2"/>
  </si>
  <si>
    <t>均等割</t>
    <rPh sb="0" eb="3">
      <t>キントウワ</t>
    </rPh>
    <phoneticPr fontId="2"/>
  </si>
  <si>
    <t>加入
月数</t>
    <rPh sb="0" eb="2">
      <t>カニュウ</t>
    </rPh>
    <rPh sb="3" eb="5">
      <t>ツキスウ</t>
    </rPh>
    <phoneticPr fontId="2"/>
  </si>
  <si>
    <t>介護
月数</t>
    <rPh sb="0" eb="2">
      <t>カイゴ</t>
    </rPh>
    <rPh sb="3" eb="5">
      <t>ツキスウ</t>
    </rPh>
    <phoneticPr fontId="2"/>
  </si>
  <si>
    <t>２．税計算</t>
    <rPh sb="2" eb="3">
      <t>ゼイ</t>
    </rPh>
    <rPh sb="3" eb="5">
      <t>ケイサン</t>
    </rPh>
    <phoneticPr fontId="2"/>
  </si>
  <si>
    <t>-</t>
    <phoneticPr fontId="2"/>
  </si>
  <si>
    <t>限度額</t>
    <rPh sb="0" eb="2">
      <t>ゲンド</t>
    </rPh>
    <rPh sb="2" eb="3">
      <t>ガク</t>
    </rPh>
    <phoneticPr fontId="2"/>
  </si>
  <si>
    <t>軽減
判定</t>
    <rPh sb="0" eb="2">
      <t>ケイゲン</t>
    </rPh>
    <rPh sb="3" eb="5">
      <t>ハンテイ</t>
    </rPh>
    <phoneticPr fontId="2"/>
  </si>
  <si>
    <t>軽減所得
合計</t>
    <rPh sb="0" eb="2">
      <t>ケイゲン</t>
    </rPh>
    <rPh sb="2" eb="4">
      <t>ショトク</t>
    </rPh>
    <rPh sb="5" eb="7">
      <t>ゴウケイ</t>
    </rPh>
    <phoneticPr fontId="2"/>
  </si>
  <si>
    <t>擬主</t>
    <rPh sb="0" eb="1">
      <t>ギ</t>
    </rPh>
    <rPh sb="1" eb="2">
      <t>ヌシ</t>
    </rPh>
    <phoneticPr fontId="2"/>
  </si>
  <si>
    <t>未申</t>
    <rPh sb="0" eb="2">
      <t>ヒツジサル</t>
    </rPh>
    <phoneticPr fontId="2"/>
  </si>
  <si>
    <t>所得割
課税標準額</t>
    <rPh sb="0" eb="2">
      <t>ショトク</t>
    </rPh>
    <rPh sb="2" eb="3">
      <t>ワリ</t>
    </rPh>
    <rPh sb="4" eb="6">
      <t>カゼイ</t>
    </rPh>
    <rPh sb="6" eb="8">
      <t>ヒョウジュン</t>
    </rPh>
    <rPh sb="8" eb="9">
      <t>ガク</t>
    </rPh>
    <phoneticPr fontId="2"/>
  </si>
  <si>
    <t>年齢</t>
    <rPh sb="0" eb="2">
      <t>ネンレイ</t>
    </rPh>
    <phoneticPr fontId="2"/>
  </si>
  <si>
    <t>所得合計</t>
    <rPh sb="0" eb="2">
      <t>ショトク</t>
    </rPh>
    <rPh sb="2" eb="4">
      <t>ゴウケイ</t>
    </rPh>
    <phoneticPr fontId="2"/>
  </si>
  <si>
    <t>年税額見込</t>
    <rPh sb="0" eb="1">
      <t>ネン</t>
    </rPh>
    <rPh sb="1" eb="2">
      <t>ゼイ</t>
    </rPh>
    <rPh sb="2" eb="3">
      <t>ガク</t>
    </rPh>
    <rPh sb="3" eb="5">
      <t>ミコ</t>
    </rPh>
    <phoneticPr fontId="2"/>
  </si>
  <si>
    <t>世帯主</t>
    <rPh sb="0" eb="3">
      <t>セタイヌシ</t>
    </rPh>
    <phoneticPr fontId="2"/>
  </si>
  <si>
    <t>【入力方法　左の表に入力をしてください。】</t>
    <rPh sb="1" eb="3">
      <t>ニュウリョク</t>
    </rPh>
    <rPh sb="3" eb="5">
      <t>ホウホウ</t>
    </rPh>
    <rPh sb="6" eb="7">
      <t>ヒダリ</t>
    </rPh>
    <rPh sb="8" eb="9">
      <t>ヒョウ</t>
    </rPh>
    <rPh sb="10" eb="12">
      <t>ニュウリョク</t>
    </rPh>
    <phoneticPr fontId="2"/>
  </si>
  <si>
    <t>※この試算表はあくまで年間の税額のめやすとなるものです。実際の税額とは異なる場合がありますので、</t>
    <rPh sb="3" eb="6">
      <t>シサンヒョウ</t>
    </rPh>
    <rPh sb="11" eb="13">
      <t>ネンカン</t>
    </rPh>
    <rPh sb="14" eb="16">
      <t>ゼイガク</t>
    </rPh>
    <rPh sb="28" eb="30">
      <t>ジッサイ</t>
    </rPh>
    <rPh sb="31" eb="33">
      <t>ゼイガク</t>
    </rPh>
    <rPh sb="35" eb="36">
      <t>コト</t>
    </rPh>
    <rPh sb="38" eb="40">
      <t>バアイ</t>
    </rPh>
    <phoneticPr fontId="2"/>
  </si>
  <si>
    <t>目安としてご利用してください。</t>
    <rPh sb="0" eb="2">
      <t>メヤス</t>
    </rPh>
    <rPh sb="6" eb="8">
      <t>リヨウ</t>
    </rPh>
    <phoneticPr fontId="2"/>
  </si>
  <si>
    <t>②均等割</t>
    <rPh sb="1" eb="3">
      <t>キントウ</t>
    </rPh>
    <rPh sb="3" eb="4">
      <t>ワリ</t>
    </rPh>
    <phoneticPr fontId="2"/>
  </si>
  <si>
    <t>③平等割</t>
    <rPh sb="1" eb="3">
      <t>ビョウドウ</t>
    </rPh>
    <rPh sb="3" eb="4">
      <t>ワリ</t>
    </rPh>
    <phoneticPr fontId="2"/>
  </si>
  <si>
    <t>なお擬主とは、国保に加入していない住民票上の世帯主のことです。</t>
    <rPh sb="17" eb="20">
      <t>ジュウミンヒョウ</t>
    </rPh>
    <rPh sb="20" eb="21">
      <t>ジョウ</t>
    </rPh>
    <phoneticPr fontId="2"/>
  </si>
  <si>
    <t>給与収入</t>
    <rPh sb="0" eb="2">
      <t>キュウヨ</t>
    </rPh>
    <rPh sb="2" eb="4">
      <t>シュウニュウ</t>
    </rPh>
    <phoneticPr fontId="2"/>
  </si>
  <si>
    <t>その他の所得</t>
    <rPh sb="2" eb="3">
      <t>タ</t>
    </rPh>
    <rPh sb="4" eb="6">
      <t>ショトク</t>
    </rPh>
    <phoneticPr fontId="2"/>
  </si>
  <si>
    <t>自動計算</t>
    <rPh sb="0" eb="2">
      <t>ジドウ</t>
    </rPh>
    <rPh sb="2" eb="4">
      <t>ケイサン</t>
    </rPh>
    <phoneticPr fontId="2"/>
  </si>
  <si>
    <t>給与収入…前年中の総支給額を入力してください。</t>
    <rPh sb="0" eb="2">
      <t>キュウヨ</t>
    </rPh>
    <rPh sb="2" eb="4">
      <t>シュウニュウ</t>
    </rPh>
    <rPh sb="7" eb="8">
      <t>チュウ</t>
    </rPh>
    <rPh sb="9" eb="10">
      <t>ソウ</t>
    </rPh>
    <rPh sb="10" eb="13">
      <t>シキュウガク</t>
    </rPh>
    <phoneticPr fontId="2"/>
  </si>
  <si>
    <t>その他の所得…前年中の事業収入等から必要経費額を差し引いた額を入力してください。</t>
    <rPh sb="2" eb="3">
      <t>タ</t>
    </rPh>
    <rPh sb="4" eb="6">
      <t>ショトク</t>
    </rPh>
    <rPh sb="7" eb="10">
      <t>ゼンネンチュウ</t>
    </rPh>
    <rPh sb="31" eb="33">
      <t>ニュウリョク</t>
    </rPh>
    <phoneticPr fontId="2"/>
  </si>
  <si>
    <t>給与</t>
    <rPh sb="0" eb="2">
      <t>キュウヨ</t>
    </rPh>
    <phoneticPr fontId="2"/>
  </si>
  <si>
    <t>～</t>
    <phoneticPr fontId="2"/>
  </si>
  <si>
    <t>収入</t>
    <rPh sb="0" eb="2">
      <t>シュウニュウ</t>
    </rPh>
    <phoneticPr fontId="2"/>
  </si>
  <si>
    <t>所得</t>
    <rPh sb="0" eb="2">
      <t>ショトク</t>
    </rPh>
    <phoneticPr fontId="2"/>
  </si>
  <si>
    <t>公的年金収入</t>
    <rPh sb="0" eb="2">
      <t>コウテキ</t>
    </rPh>
    <rPh sb="2" eb="4">
      <t>ネンキン</t>
    </rPh>
    <rPh sb="4" eb="6">
      <t>シュウニュウ</t>
    </rPh>
    <phoneticPr fontId="2"/>
  </si>
  <si>
    <t>公的年金収入…前年中の総支給額を入力してください。</t>
    <rPh sb="0" eb="2">
      <t>コウテキ</t>
    </rPh>
    <rPh sb="2" eb="4">
      <t>ネンキン</t>
    </rPh>
    <rPh sb="4" eb="6">
      <t>シュウニュウ</t>
    </rPh>
    <rPh sb="9" eb="10">
      <t>チュウ</t>
    </rPh>
    <rPh sb="11" eb="12">
      <t>ソウ</t>
    </rPh>
    <rPh sb="12" eb="15">
      <t>シキュウガク</t>
    </rPh>
    <phoneticPr fontId="2"/>
  </si>
  <si>
    <t>給与所得</t>
    <rPh sb="0" eb="2">
      <t>キュウヨ</t>
    </rPh>
    <rPh sb="2" eb="4">
      <t>ショトク</t>
    </rPh>
    <phoneticPr fontId="2"/>
  </si>
  <si>
    <t>公的年金等収入</t>
    <rPh sb="0" eb="2">
      <t>コウテキ</t>
    </rPh>
    <rPh sb="2" eb="4">
      <t>ネンキン</t>
    </rPh>
    <rPh sb="4" eb="5">
      <t>ナド</t>
    </rPh>
    <rPh sb="5" eb="7">
      <t>シュウニュウ</t>
    </rPh>
    <phoneticPr fontId="2"/>
  </si>
  <si>
    <t>公的年金等所得</t>
    <rPh sb="0" eb="2">
      <t>コウテキ</t>
    </rPh>
    <rPh sb="2" eb="4">
      <t>ネンキン</t>
    </rPh>
    <rPh sb="4" eb="5">
      <t>トウ</t>
    </rPh>
    <rPh sb="5" eb="7">
      <t>ショトク</t>
    </rPh>
    <phoneticPr fontId="2"/>
  </si>
  <si>
    <t>公的年金等雑所得以外の所得にかかる合計所得</t>
    <phoneticPr fontId="2"/>
  </si>
  <si>
    <t>公的年金等（1月1日現在65歳以上）</t>
    <phoneticPr fontId="2"/>
  </si>
  <si>
    <t>公的年金等（1月1日現在65歳未満）</t>
    <phoneticPr fontId="2"/>
  </si>
  <si>
    <t>公的年金等所得</t>
    <rPh sb="0" eb="2">
      <t>コウテキ</t>
    </rPh>
    <rPh sb="2" eb="4">
      <t>ネンキン</t>
    </rPh>
    <rPh sb="4" eb="5">
      <t>ナド</t>
    </rPh>
    <rPh sb="5" eb="7">
      <t>ショトク</t>
    </rPh>
    <phoneticPr fontId="2"/>
  </si>
  <si>
    <t>合計</t>
    <rPh sb="0" eb="2">
      <t>ゴウケイ</t>
    </rPh>
    <phoneticPr fontId="2"/>
  </si>
  <si>
    <t>続柄</t>
    <rPh sb="0" eb="1">
      <t>ツヅ</t>
    </rPh>
    <rPh sb="1" eb="2">
      <t>ガラ</t>
    </rPh>
    <phoneticPr fontId="2"/>
  </si>
  <si>
    <t>給与所得者等が0人か1人</t>
    <rPh sb="0" eb="2">
      <t>キュウヨ</t>
    </rPh>
    <rPh sb="2" eb="4">
      <t>ショトク</t>
    </rPh>
    <rPh sb="4" eb="5">
      <t>シャ</t>
    </rPh>
    <rPh sb="5" eb="6">
      <t>ナド</t>
    </rPh>
    <rPh sb="8" eb="9">
      <t>ニン</t>
    </rPh>
    <rPh sb="11" eb="12">
      <t>ニン</t>
    </rPh>
    <phoneticPr fontId="2"/>
  </si>
  <si>
    <t>7割</t>
    <rPh sb="1" eb="2">
      <t>ワリ</t>
    </rPh>
    <phoneticPr fontId="2"/>
  </si>
  <si>
    <t>軽減区分</t>
    <rPh sb="0" eb="2">
      <t>ケイゲン</t>
    </rPh>
    <rPh sb="2" eb="4">
      <t>クブン</t>
    </rPh>
    <phoneticPr fontId="2"/>
  </si>
  <si>
    <t>5割</t>
    <rPh sb="1" eb="2">
      <t>ワリ</t>
    </rPh>
    <phoneticPr fontId="2"/>
  </si>
  <si>
    <t>2割</t>
    <rPh sb="1" eb="2">
      <t>ワリ</t>
    </rPh>
    <phoneticPr fontId="2"/>
  </si>
  <si>
    <t>基礎控除</t>
    <rPh sb="0" eb="2">
      <t>キソ</t>
    </rPh>
    <rPh sb="2" eb="4">
      <t>コウジョ</t>
    </rPh>
    <phoneticPr fontId="2"/>
  </si>
  <si>
    <t>+</t>
    <phoneticPr fontId="2"/>
  </si>
  <si>
    <t>加算</t>
    <rPh sb="0" eb="2">
      <t>カサン</t>
    </rPh>
    <phoneticPr fontId="2"/>
  </si>
  <si>
    <t>×</t>
    <phoneticPr fontId="2"/>
  </si>
  <si>
    <t>被保険者数</t>
    <rPh sb="0" eb="4">
      <t>ヒホケンシャ</t>
    </rPh>
    <rPh sb="4" eb="5">
      <t>スウ</t>
    </rPh>
    <phoneticPr fontId="2"/>
  </si>
  <si>
    <t>給与所得者等が2人以上</t>
    <rPh sb="0" eb="2">
      <t>キュウヨ</t>
    </rPh>
    <rPh sb="2" eb="4">
      <t>ショトク</t>
    </rPh>
    <rPh sb="4" eb="5">
      <t>シャ</t>
    </rPh>
    <rPh sb="5" eb="6">
      <t>ナド</t>
    </rPh>
    <rPh sb="8" eb="9">
      <t>ニン</t>
    </rPh>
    <rPh sb="9" eb="11">
      <t>イジョウ</t>
    </rPh>
    <phoneticPr fontId="2"/>
  </si>
  <si>
    <t>給与所得者等の数</t>
    <rPh sb="0" eb="2">
      <t>キュウヨ</t>
    </rPh>
    <rPh sb="2" eb="4">
      <t>ショトク</t>
    </rPh>
    <rPh sb="4" eb="5">
      <t>シャ</t>
    </rPh>
    <rPh sb="5" eb="6">
      <t>ナド</t>
    </rPh>
    <rPh sb="7" eb="8">
      <t>カズ</t>
    </rPh>
    <phoneticPr fontId="2"/>
  </si>
  <si>
    <t>（</t>
    <phoneticPr fontId="2"/>
  </si>
  <si>
    <t>）</t>
    <phoneticPr fontId="2"/>
  </si>
  <si>
    <t>＋</t>
    <phoneticPr fontId="2"/>
  </si>
  <si>
    <t>軽減判定所得</t>
    <rPh sb="0" eb="2">
      <t>ケイゲン</t>
    </rPh>
    <rPh sb="2" eb="4">
      <t>ハンテイ</t>
    </rPh>
    <rPh sb="4" eb="6">
      <t>ショトク</t>
    </rPh>
    <phoneticPr fontId="2"/>
  </si>
  <si>
    <t>給与所得者等</t>
    <rPh sb="0" eb="2">
      <t>キュウヨ</t>
    </rPh>
    <rPh sb="2" eb="4">
      <t>ショトク</t>
    </rPh>
    <rPh sb="4" eb="5">
      <t>シャ</t>
    </rPh>
    <rPh sb="5" eb="6">
      <t>ナド</t>
    </rPh>
    <phoneticPr fontId="2"/>
  </si>
  <si>
    <t>課税標準額</t>
    <rPh sb="0" eb="2">
      <t>カゼイ</t>
    </rPh>
    <rPh sb="2" eb="4">
      <t>ヒョウジュン</t>
    </rPh>
    <rPh sb="4" eb="5">
      <t>ガク</t>
    </rPh>
    <phoneticPr fontId="2"/>
  </si>
  <si>
    <t>所得金額</t>
    <rPh sb="0" eb="2">
      <t>ショトク</t>
    </rPh>
    <rPh sb="2" eb="4">
      <t>キンガク</t>
    </rPh>
    <phoneticPr fontId="2"/>
  </si>
  <si>
    <t>100,000円のみ減額</t>
    <rPh sb="7" eb="8">
      <t>エン</t>
    </rPh>
    <rPh sb="10" eb="12">
      <t>ゲンガク</t>
    </rPh>
    <phoneticPr fontId="2"/>
  </si>
  <si>
    <t>②’
均等軽減</t>
    <rPh sb="3" eb="5">
      <t>キントウ</t>
    </rPh>
    <rPh sb="5" eb="7">
      <t>ケイゲン</t>
    </rPh>
    <phoneticPr fontId="2"/>
  </si>
  <si>
    <t>③”
平等軽減</t>
    <rPh sb="3" eb="5">
      <t>ビョウドウ</t>
    </rPh>
    <rPh sb="5" eb="7">
      <t>ケイゲン</t>
    </rPh>
    <phoneticPr fontId="2"/>
  </si>
  <si>
    <t>④賦課額</t>
    <rPh sb="1" eb="4">
      <t>フカガク</t>
    </rPh>
    <phoneticPr fontId="2"/>
  </si>
  <si>
    <t>⑤課税額</t>
    <rPh sb="1" eb="4">
      <t>カゼイガク</t>
    </rPh>
    <phoneticPr fontId="2"/>
  </si>
  <si>
    <t>２人目</t>
    <rPh sb="1" eb="2">
      <t>ニン</t>
    </rPh>
    <rPh sb="2" eb="3">
      <t>メ</t>
    </rPh>
    <phoneticPr fontId="2"/>
  </si>
  <si>
    <t>３人目</t>
    <rPh sb="1" eb="2">
      <t>ニン</t>
    </rPh>
    <rPh sb="2" eb="3">
      <t>メ</t>
    </rPh>
    <phoneticPr fontId="2"/>
  </si>
  <si>
    <t>４人目</t>
    <rPh sb="1" eb="2">
      <t>ニン</t>
    </rPh>
    <rPh sb="2" eb="3">
      <t>メ</t>
    </rPh>
    <phoneticPr fontId="2"/>
  </si>
  <si>
    <t>５人目</t>
    <rPh sb="1" eb="2">
      <t>ニン</t>
    </rPh>
    <rPh sb="2" eb="3">
      <t>メ</t>
    </rPh>
    <phoneticPr fontId="2"/>
  </si>
  <si>
    <t>６人目</t>
    <rPh sb="1" eb="2">
      <t>ニン</t>
    </rPh>
    <rPh sb="2" eb="3">
      <t>メ</t>
    </rPh>
    <phoneticPr fontId="2"/>
  </si>
  <si>
    <t>７人目</t>
    <rPh sb="1" eb="2">
      <t>ニン</t>
    </rPh>
    <rPh sb="2" eb="3">
      <t>メ</t>
    </rPh>
    <phoneticPr fontId="2"/>
  </si>
  <si>
    <t>８人目</t>
    <rPh sb="1" eb="2">
      <t>ニン</t>
    </rPh>
    <rPh sb="2" eb="3">
      <t>メ</t>
    </rPh>
    <phoneticPr fontId="2"/>
  </si>
  <si>
    <t>年金軽減判定所得</t>
    <rPh sb="0" eb="2">
      <t>ネンキン</t>
    </rPh>
    <rPh sb="2" eb="4">
      <t>ケイゲン</t>
    </rPh>
    <rPh sb="4" eb="6">
      <t>ハンテイ</t>
    </rPh>
    <rPh sb="6" eb="8">
      <t>ショトク</t>
    </rPh>
    <phoneticPr fontId="2"/>
  </si>
  <si>
    <t>公的年金等に係る雑所得以外の所得にかかる所得</t>
    <rPh sb="6" eb="7">
      <t>カカ</t>
    </rPh>
    <phoneticPr fontId="2"/>
  </si>
  <si>
    <t>雑所得のうち、公的年金等に係る雑所得以外の合計所得金額</t>
    <rPh sb="0" eb="1">
      <t>ザツ</t>
    </rPh>
    <rPh sb="1" eb="3">
      <t>ショトク</t>
    </rPh>
    <rPh sb="7" eb="9">
      <t>コウテキ</t>
    </rPh>
    <rPh sb="9" eb="11">
      <t>ネンキン</t>
    </rPh>
    <rPh sb="11" eb="12">
      <t>ナド</t>
    </rPh>
    <rPh sb="13" eb="14">
      <t>カカ</t>
    </rPh>
    <rPh sb="15" eb="18">
      <t>ザツショトク</t>
    </rPh>
    <rPh sb="18" eb="20">
      <t>イガイ</t>
    </rPh>
    <rPh sb="21" eb="23">
      <t>ゴウケイ</t>
    </rPh>
    <rPh sb="23" eb="25">
      <t>ショトク</t>
    </rPh>
    <rPh sb="25" eb="27">
      <t>キンガク</t>
    </rPh>
    <phoneticPr fontId="2"/>
  </si>
  <si>
    <t>１人目</t>
    <rPh sb="1" eb="2">
      <t>ニン</t>
    </rPh>
    <rPh sb="2" eb="3">
      <t>メ</t>
    </rPh>
    <phoneticPr fontId="2"/>
  </si>
  <si>
    <t>給与所得と公的年金等所得の合計が10万円以上がある場合は、</t>
    <rPh sb="0" eb="2">
      <t>キュウヨ</t>
    </rPh>
    <rPh sb="2" eb="4">
      <t>ショトク</t>
    </rPh>
    <rPh sb="5" eb="7">
      <t>コウテキ</t>
    </rPh>
    <rPh sb="7" eb="9">
      <t>ネンキン</t>
    </rPh>
    <rPh sb="9" eb="10">
      <t>ナド</t>
    </rPh>
    <rPh sb="10" eb="12">
      <t>ショトク</t>
    </rPh>
    <rPh sb="13" eb="15">
      <t>ゴウケイ</t>
    </rPh>
    <rPh sb="18" eb="20">
      <t>マンエン</t>
    </rPh>
    <rPh sb="20" eb="22">
      <t>イジョウ</t>
    </rPh>
    <rPh sb="25" eb="27">
      <t>バアイ</t>
    </rPh>
    <phoneticPr fontId="2"/>
  </si>
  <si>
    <t>給与所得と公的年金等所得が両方あり、</t>
    <rPh sb="0" eb="2">
      <t>キュウヨ</t>
    </rPh>
    <rPh sb="2" eb="4">
      <t>ショトク</t>
    </rPh>
    <rPh sb="5" eb="7">
      <t>コウテキ</t>
    </rPh>
    <rPh sb="7" eb="9">
      <t>ネンキン</t>
    </rPh>
    <rPh sb="9" eb="10">
      <t>ナド</t>
    </rPh>
    <rPh sb="10" eb="12">
      <t>ショトク</t>
    </rPh>
    <rPh sb="13" eb="15">
      <t>リョウホウ</t>
    </rPh>
    <phoneticPr fontId="2"/>
  </si>
  <si>
    <r>
      <t>固定資産税額・・・</t>
    </r>
    <r>
      <rPr>
        <b/>
        <sz val="11"/>
        <rFont val="ＭＳ Ｐゴシック"/>
        <family val="3"/>
        <charset val="128"/>
      </rPr>
      <t>H30年度より資産割廃止。</t>
    </r>
    <rPh sb="0" eb="2">
      <t>コテイ</t>
    </rPh>
    <rPh sb="2" eb="4">
      <t>シサン</t>
    </rPh>
    <rPh sb="4" eb="6">
      <t>ゼイガク</t>
    </rPh>
    <rPh sb="12" eb="14">
      <t>ネンド</t>
    </rPh>
    <rPh sb="16" eb="18">
      <t>シサン</t>
    </rPh>
    <rPh sb="18" eb="19">
      <t>ワリ</t>
    </rPh>
    <rPh sb="19" eb="21">
      <t>ハイシ</t>
    </rPh>
    <phoneticPr fontId="2"/>
  </si>
  <si>
    <t>世帯員</t>
    <rPh sb="0" eb="3">
      <t>セタイイン</t>
    </rPh>
    <phoneticPr fontId="2"/>
  </si>
  <si>
    <t>１人目</t>
    <rPh sb="1" eb="3">
      <t>ニンメ</t>
    </rPh>
    <phoneticPr fontId="2"/>
  </si>
  <si>
    <t>未就学児</t>
    <rPh sb="0" eb="4">
      <t>ミシュウガクジ</t>
    </rPh>
    <phoneticPr fontId="2"/>
  </si>
  <si>
    <t>2人目</t>
    <rPh sb="1" eb="3">
      <t>ニンメ</t>
    </rPh>
    <phoneticPr fontId="2"/>
  </si>
  <si>
    <t>3人目</t>
    <rPh sb="1" eb="3">
      <t>ニンメ</t>
    </rPh>
    <phoneticPr fontId="2"/>
  </si>
  <si>
    <t>4人目</t>
    <rPh sb="1" eb="3">
      <t>ニンメ</t>
    </rPh>
    <phoneticPr fontId="2"/>
  </si>
  <si>
    <t>5人目</t>
    <rPh sb="1" eb="3">
      <t>ニンメ</t>
    </rPh>
    <phoneticPr fontId="2"/>
  </si>
  <si>
    <t>6人目</t>
    <rPh sb="1" eb="3">
      <t>ニンメ</t>
    </rPh>
    <phoneticPr fontId="2"/>
  </si>
  <si>
    <t>7人目</t>
    <rPh sb="1" eb="3">
      <t>ニンメ</t>
    </rPh>
    <phoneticPr fontId="2"/>
  </si>
  <si>
    <t>8人目</t>
    <rPh sb="1" eb="3">
      <t>ニンメ</t>
    </rPh>
    <phoneticPr fontId="2"/>
  </si>
  <si>
    <t>年齢・・・指定日時点の年齢を入力してください。（2ヶ所）</t>
    <rPh sb="0" eb="2">
      <t>ネンレイ</t>
    </rPh>
    <rPh sb="5" eb="8">
      <t>シテイビ</t>
    </rPh>
    <rPh sb="8" eb="10">
      <t>ジテン</t>
    </rPh>
    <rPh sb="11" eb="13">
      <t>ネンレイ</t>
    </rPh>
    <rPh sb="14" eb="16">
      <t>ニュウリョク</t>
    </rPh>
    <rPh sb="26" eb="27">
      <t>ショ</t>
    </rPh>
    <phoneticPr fontId="2"/>
  </si>
  <si>
    <t>国保資格・・・プルダウン（▼）で選んでください。世帯主の所得は必ず入力してください。</t>
    <rPh sb="0" eb="2">
      <t>コクホ</t>
    </rPh>
    <rPh sb="2" eb="4">
      <t>シカク</t>
    </rPh>
    <rPh sb="16" eb="17">
      <t>エラ</t>
    </rPh>
    <rPh sb="24" eb="27">
      <t>セタイヌシ</t>
    </rPh>
    <rPh sb="28" eb="30">
      <t>ショトク</t>
    </rPh>
    <rPh sb="31" eb="32">
      <t>カナラ</t>
    </rPh>
    <rPh sb="33" eb="35">
      <t>ニュウリョク</t>
    </rPh>
    <phoneticPr fontId="2"/>
  </si>
  <si>
    <t>国保資格</t>
    <rPh sb="0" eb="2">
      <t>コクホ</t>
    </rPh>
    <rPh sb="2" eb="4">
      <t>シカク</t>
    </rPh>
    <phoneticPr fontId="2"/>
  </si>
  <si>
    <t>住民票上同一世帯の方で、国保に加入される世帯主以外の方は世帯員を選択してください。</t>
    <rPh sb="0" eb="3">
      <t>ジュウミンヒョウ</t>
    </rPh>
    <rPh sb="3" eb="4">
      <t>ジョウ</t>
    </rPh>
    <rPh sb="4" eb="6">
      <t>ドウイツ</t>
    </rPh>
    <rPh sb="6" eb="8">
      <t>セタイ</t>
    </rPh>
    <rPh sb="9" eb="10">
      <t>カタ</t>
    </rPh>
    <rPh sb="12" eb="14">
      <t>コクホ</t>
    </rPh>
    <rPh sb="15" eb="17">
      <t>カニュウ</t>
    </rPh>
    <rPh sb="20" eb="23">
      <t>セタイヌシ</t>
    </rPh>
    <rPh sb="23" eb="25">
      <t>イガイ</t>
    </rPh>
    <rPh sb="26" eb="27">
      <t>カタ</t>
    </rPh>
    <rPh sb="28" eb="30">
      <t>セタイ</t>
    </rPh>
    <rPh sb="30" eb="31">
      <t>イン</t>
    </rPh>
    <rPh sb="32" eb="34">
      <t>センタク</t>
    </rPh>
    <phoneticPr fontId="2"/>
  </si>
  <si>
    <t>令和8年度　飯塚市国民健康保険税試算表</t>
    <rPh sb="0" eb="2">
      <t>レイワ</t>
    </rPh>
    <rPh sb="3" eb="5">
      <t>ネンド</t>
    </rPh>
    <rPh sb="6" eb="9">
      <t>イイヅカシ</t>
    </rPh>
    <rPh sb="9" eb="11">
      <t>コクミン</t>
    </rPh>
    <rPh sb="11" eb="13">
      <t>ケンコウ</t>
    </rPh>
    <rPh sb="13" eb="15">
      <t>ホケン</t>
    </rPh>
    <rPh sb="15" eb="16">
      <t>ゼイ</t>
    </rPh>
    <rPh sb="16" eb="19">
      <t>シサンヒョウ</t>
    </rPh>
    <phoneticPr fontId="2"/>
  </si>
  <si>
    <t>子ども分</t>
    <rPh sb="0" eb="1">
      <t>コ</t>
    </rPh>
    <rPh sb="3" eb="4">
      <t>ブン</t>
    </rPh>
    <phoneticPr fontId="2"/>
  </si>
  <si>
    <t>18歳未満</t>
    <rPh sb="2" eb="3">
      <t>サイ</t>
    </rPh>
    <rPh sb="3" eb="5">
      <t>ミマン</t>
    </rPh>
    <phoneticPr fontId="2"/>
  </si>
  <si>
    <t>令和7年中の総支給額です</t>
    <rPh sb="0" eb="2">
      <t>レイワ</t>
    </rPh>
    <rPh sb="3" eb="4">
      <t>ネン</t>
    </rPh>
    <rPh sb="4" eb="5">
      <t>チュウ</t>
    </rPh>
    <rPh sb="6" eb="7">
      <t>ソウ</t>
    </rPh>
    <rPh sb="7" eb="10">
      <t>シキュウガク</t>
    </rPh>
    <phoneticPr fontId="2"/>
  </si>
  <si>
    <t>令和7年中の収入から諸経費を控除した所得金額です</t>
    <rPh sb="0" eb="2">
      <t>レイワ</t>
    </rPh>
    <rPh sb="3" eb="4">
      <t>ネン</t>
    </rPh>
    <rPh sb="4" eb="5">
      <t>チュウ</t>
    </rPh>
    <rPh sb="6" eb="8">
      <t>シュウニュウ</t>
    </rPh>
    <rPh sb="10" eb="13">
      <t>ショケイヒ</t>
    </rPh>
    <rPh sb="14" eb="16">
      <t>コウジョ</t>
    </rPh>
    <rPh sb="18" eb="20">
      <t>ショトク</t>
    </rPh>
    <rPh sb="20" eb="22">
      <t>キンガク</t>
    </rPh>
    <phoneticPr fontId="2"/>
  </si>
  <si>
    <t>備考</t>
    <rPh sb="0" eb="2">
      <t>ビコウ</t>
    </rPh>
    <phoneticPr fontId="2"/>
  </si>
  <si>
    <t>40歳～64歳のみ賦課されます。</t>
    <rPh sb="2" eb="3">
      <t>サイ</t>
    </rPh>
    <rPh sb="6" eb="7">
      <t>サイ</t>
    </rPh>
    <rPh sb="9" eb="11">
      <t>フカ</t>
    </rPh>
    <phoneticPr fontId="2"/>
  </si>
  <si>
    <t>令和8年
1月1日
現在</t>
    <rPh sb="0" eb="2">
      <t>レイワ</t>
    </rPh>
    <rPh sb="3" eb="4">
      <t>ネン</t>
    </rPh>
    <rPh sb="6" eb="7">
      <t>ガツ</t>
    </rPh>
    <rPh sb="8" eb="9">
      <t>ニチ</t>
    </rPh>
    <rPh sb="10" eb="12">
      <t>ゲンザイ</t>
    </rPh>
    <phoneticPr fontId="2"/>
  </si>
  <si>
    <t>令和8年
4月1日現在</t>
    <rPh sb="0" eb="2">
      <t>レイワ</t>
    </rPh>
    <rPh sb="3" eb="4">
      <t>ネン</t>
    </rPh>
    <rPh sb="6" eb="7">
      <t>ガツ</t>
    </rPh>
    <rPh sb="7" eb="9">
      <t>ツイタチ</t>
    </rPh>
    <rPh sb="9" eb="11">
      <t>ゲンザイ</t>
    </rPh>
    <phoneticPr fontId="2"/>
  </si>
  <si>
    <t>18歳未満の均等割は1,025円ですが、18歳未満の方は全額免除されます。</t>
    <rPh sb="2" eb="3">
      <t>サイ</t>
    </rPh>
    <rPh sb="3" eb="5">
      <t>ミマン</t>
    </rPh>
    <rPh sb="6" eb="9">
      <t>キントウワ</t>
    </rPh>
    <rPh sb="15" eb="16">
      <t>エン</t>
    </rPh>
    <rPh sb="22" eb="23">
      <t>サイ</t>
    </rPh>
    <rPh sb="23" eb="25">
      <t>ミマン</t>
    </rPh>
    <rPh sb="26" eb="27">
      <t>カタ</t>
    </rPh>
    <rPh sb="28" eb="30">
      <t>ゼンガク</t>
    </rPh>
    <rPh sb="30" eb="32">
      <t>メンジョ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</si>
</sst>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0"/>
      <name val="ＭＳ Ｐゴシック"/>
      <family val="3"/>
      <charset val="128"/>
    </font>
    <font>
      <sz val="11"/>
      <color indexed="12"/>
      <name val="ＭＳ Ｐゴシック"/>
      <family val="3"/>
      <charset val="128"/>
    </font>
    <font>
      <sz val="10"/>
      <color indexed="12"/>
      <name val="ＭＳ Ｐゴシック"/>
      <family val="3"/>
      <charset val="128"/>
    </font>
    <font>
      <sz val="9"/>
      <color indexed="12"/>
      <name val="ＭＳ Ｐゴシック"/>
      <family val="3"/>
      <charset val="128"/>
    </font>
    <font>
      <b/>
      <sz val="11"/>
      <name val="ＭＳ Ｐゴシック"/>
      <family val="3"/>
      <charset val="128"/>
    </font>
    <font>
      <sz val="11"/>
      <color indexed="9"/>
      <name val="ＭＳ Ｐゴシック"/>
      <family val="3"/>
      <charset val="128"/>
    </font>
    <font>
      <b/>
      <sz val="12"/>
      <color indexed="12"/>
      <name val="ＭＳ Ｐゴシック"/>
      <family val="3"/>
      <charset val="128"/>
    </font>
    <font>
      <b/>
      <sz val="18"/>
      <name val="HG丸ｺﾞｼｯｸM-PRO"/>
      <family val="3"/>
      <charset val="128"/>
    </font>
    <font>
      <b/>
      <sz val="11"/>
      <color rgb="FFFF0000"/>
      <name val="ＭＳ Ｐゴシック"/>
      <family val="3"/>
      <charset val="128"/>
    </font>
    <font>
      <sz val="11"/>
      <color theme="1"/>
      <name val="ＭＳ Ｐゴシック"/>
      <family val="3"/>
      <charset val="128"/>
    </font>
    <font>
      <sz val="11"/>
      <color rgb="FFFF0000"/>
      <name val="ＭＳ Ｐゴシック"/>
      <family val="3"/>
      <charset val="128"/>
    </font>
    <font>
      <b/>
      <sz val="9"/>
      <color indexed="81"/>
      <name val="ＭＳ Ｐゴシック"/>
      <family val="3"/>
      <charset val="128"/>
    </font>
    <font>
      <strike/>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8" tint="0.79998168889431442"/>
        <bgColor indexed="64"/>
      </patternFill>
    </fill>
  </fills>
  <borders count="45">
    <border>
      <left/>
      <right/>
      <top/>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261">
    <xf numFmtId="0" fontId="0" fillId="0" borderId="0" xfId="0"/>
    <xf numFmtId="0" fontId="5" fillId="0" borderId="0" xfId="0" applyFont="1" applyBorder="1" applyAlignment="1" applyProtection="1">
      <alignment vertical="center"/>
    </xf>
    <xf numFmtId="0" fontId="0" fillId="0" borderId="0" xfId="0" applyProtection="1"/>
    <xf numFmtId="0" fontId="3" fillId="0" borderId="0" xfId="0" applyFont="1" applyBorder="1" applyAlignment="1" applyProtection="1">
      <alignment horizontal="left" vertical="center"/>
    </xf>
    <xf numFmtId="0" fontId="4" fillId="0" borderId="0" xfId="0" applyFont="1" applyProtection="1"/>
    <xf numFmtId="0" fontId="0" fillId="0" borderId="0" xfId="0" applyAlignment="1" applyProtection="1">
      <alignment vertical="top"/>
    </xf>
    <xf numFmtId="0" fontId="0" fillId="0" borderId="0" xfId="0" applyBorder="1" applyAlignment="1" applyProtection="1">
      <alignment horizontal="distributed" vertical="center"/>
    </xf>
    <xf numFmtId="0" fontId="4" fillId="0" borderId="0" xfId="0" applyFont="1" applyBorder="1" applyAlignment="1" applyProtection="1">
      <alignment horizontal="left" vertical="center"/>
    </xf>
    <xf numFmtId="0" fontId="11" fillId="0" borderId="0" xfId="0" applyFont="1" applyProtection="1"/>
    <xf numFmtId="0" fontId="4" fillId="0" borderId="0" xfId="0" applyFont="1" applyBorder="1" applyAlignment="1" applyProtection="1">
      <alignment horizontal="left"/>
    </xf>
    <xf numFmtId="0" fontId="4" fillId="0" borderId="1"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Protection="1"/>
    <xf numFmtId="0" fontId="14" fillId="0" borderId="0" xfId="0" applyFont="1"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14" fillId="0" borderId="6" xfId="0" applyFont="1" applyBorder="1" applyProtection="1"/>
    <xf numFmtId="0" fontId="0" fillId="0" borderId="7" xfId="0" applyBorder="1" applyProtection="1"/>
    <xf numFmtId="0" fontId="14" fillId="0" borderId="8" xfId="0" applyFont="1" applyBorder="1" applyProtection="1"/>
    <xf numFmtId="0" fontId="0" fillId="0" borderId="8" xfId="0" applyBorder="1" applyProtection="1"/>
    <xf numFmtId="0" fontId="14" fillId="0" borderId="9" xfId="0" applyFont="1" applyBorder="1" applyProtection="1"/>
    <xf numFmtId="0" fontId="0" fillId="0" borderId="3" xfId="0" applyBorder="1" applyAlignment="1" applyProtection="1">
      <alignment vertical="center"/>
    </xf>
    <xf numFmtId="0" fontId="4" fillId="0" borderId="10" xfId="0" applyFont="1" applyBorder="1" applyAlignment="1" applyProtection="1">
      <alignment horizontal="left" vertical="center"/>
    </xf>
    <xf numFmtId="0" fontId="11" fillId="0" borderId="6" xfId="0" applyFont="1" applyBorder="1" applyProtection="1"/>
    <xf numFmtId="0" fontId="0" fillId="3" borderId="11" xfId="0" applyFill="1" applyBorder="1" applyAlignment="1" applyProtection="1">
      <alignment vertical="center"/>
    </xf>
    <xf numFmtId="0" fontId="12" fillId="0" borderId="0" xfId="0" applyFont="1" applyFill="1" applyBorder="1" applyAlignment="1" applyProtection="1">
      <alignment vertical="center"/>
    </xf>
    <xf numFmtId="0" fontId="4" fillId="0" borderId="0" xfId="0" applyFont="1" applyBorder="1" applyProtection="1"/>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0" xfId="0" applyAlignment="1" applyProtection="1">
      <alignment horizontal="center"/>
    </xf>
    <xf numFmtId="0" fontId="0" fillId="0" borderId="0" xfId="0" applyAlignment="1" applyProtection="1">
      <alignment vertical="center"/>
    </xf>
    <xf numFmtId="38" fontId="0" fillId="0" borderId="0" xfId="1" applyFont="1" applyAlignment="1" applyProtection="1">
      <alignment vertical="center"/>
    </xf>
    <xf numFmtId="0" fontId="0" fillId="0" borderId="0" xfId="0" applyAlignment="1" applyProtection="1">
      <alignment horizontal="right" vertical="center"/>
    </xf>
    <xf numFmtId="0" fontId="0" fillId="0" borderId="17" xfId="0" applyBorder="1" applyProtection="1"/>
    <xf numFmtId="0" fontId="0" fillId="0" borderId="0" xfId="0" applyFill="1" applyAlignment="1" applyProtection="1">
      <alignment horizontal="center" vertical="center"/>
    </xf>
    <xf numFmtId="0" fontId="14" fillId="0" borderId="0" xfId="0" applyFont="1" applyAlignment="1" applyProtection="1">
      <alignment vertical="center"/>
    </xf>
    <xf numFmtId="38" fontId="10" fillId="0" borderId="0" xfId="0" applyNumberFormat="1" applyFont="1" applyAlignment="1" applyProtection="1">
      <alignment vertical="center"/>
    </xf>
    <xf numFmtId="0" fontId="10" fillId="0" borderId="0" xfId="0" applyFont="1" applyAlignment="1" applyProtection="1">
      <alignment vertical="center"/>
    </xf>
    <xf numFmtId="0" fontId="10" fillId="0" borderId="16" xfId="0" applyFont="1" applyBorder="1" applyAlignment="1" applyProtection="1">
      <alignment vertical="center"/>
    </xf>
    <xf numFmtId="0" fontId="0" fillId="0" borderId="1" xfId="0" applyBorder="1" applyAlignment="1"/>
    <xf numFmtId="0" fontId="0" fillId="0" borderId="22" xfId="0" applyBorder="1" applyAlignment="1" applyProtection="1">
      <alignment horizontal="center" vertical="center"/>
    </xf>
    <xf numFmtId="38" fontId="0" fillId="0" borderId="0" xfId="1" applyFont="1" applyBorder="1" applyAlignment="1" applyProtection="1">
      <alignment horizontal="center"/>
    </xf>
    <xf numFmtId="38" fontId="0" fillId="0" borderId="0" xfId="1" applyFont="1" applyBorder="1" applyAlignment="1">
      <alignment horizontal="center"/>
    </xf>
    <xf numFmtId="0" fontId="0" fillId="0" borderId="14" xfId="0" applyBorder="1" applyAlignment="1"/>
    <xf numFmtId="0" fontId="0" fillId="0" borderId="0" xfId="0" applyFill="1" applyProtection="1"/>
    <xf numFmtId="0" fontId="15" fillId="0" borderId="0" xfId="0" applyFont="1" applyFill="1" applyProtection="1"/>
    <xf numFmtId="0" fontId="15" fillId="0" borderId="0" xfId="0" applyFont="1" applyFill="1" applyBorder="1" applyAlignment="1" applyProtection="1">
      <alignment horizontal="center" vertical="center"/>
    </xf>
    <xf numFmtId="0" fontId="0" fillId="0" borderId="0" xfId="0" applyAlignment="1" applyProtection="1">
      <alignment horizontal="left" vertical="center"/>
    </xf>
    <xf numFmtId="0" fontId="0" fillId="0" borderId="0" xfId="0" applyAlignment="1" applyProtection="1"/>
    <xf numFmtId="3" fontId="0" fillId="0" borderId="0" xfId="0" applyNumberFormat="1" applyAlignment="1" applyProtection="1">
      <alignment vertical="center"/>
    </xf>
    <xf numFmtId="0" fontId="0" fillId="0" borderId="17" xfId="0" applyFont="1" applyFill="1" applyBorder="1" applyAlignment="1" applyProtection="1">
      <alignment vertical="center"/>
    </xf>
    <xf numFmtId="0" fontId="6" fillId="0" borderId="17" xfId="0" applyFont="1" applyFill="1" applyBorder="1" applyAlignment="1" applyProtection="1">
      <alignment vertical="center"/>
    </xf>
    <xf numFmtId="0" fontId="11" fillId="0" borderId="0" xfId="0" applyFont="1" applyBorder="1" applyAlignment="1" applyProtection="1">
      <alignment vertical="center"/>
    </xf>
    <xf numFmtId="177" fontId="11" fillId="0" borderId="0" xfId="0" applyNumberFormat="1" applyFont="1" applyBorder="1" applyAlignment="1" applyProtection="1">
      <alignment vertical="center"/>
    </xf>
    <xf numFmtId="0" fontId="0" fillId="5" borderId="0" xfId="0" applyFill="1"/>
    <xf numFmtId="0" fontId="0" fillId="0" borderId="0" xfId="0" applyFill="1" applyAlignment="1" applyProtection="1">
      <alignment horizontal="right" vertical="center"/>
    </xf>
    <xf numFmtId="0" fontId="0" fillId="0" borderId="0" xfId="0" applyFill="1" applyBorder="1" applyAlignment="1" applyProtection="1">
      <alignment horizontal="right" vertical="center"/>
    </xf>
    <xf numFmtId="0" fontId="0" fillId="0" borderId="0" xfId="0" applyBorder="1" applyAlignment="1" applyProtection="1"/>
    <xf numFmtId="0" fontId="0" fillId="0" borderId="0" xfId="0" applyBorder="1" applyAlignment="1">
      <alignment horizontal="center"/>
    </xf>
    <xf numFmtId="0" fontId="0" fillId="0" borderId="0" xfId="0" applyFill="1"/>
    <xf numFmtId="0" fontId="13" fillId="0" borderId="0" xfId="0" applyFont="1" applyBorder="1" applyAlignment="1" applyProtection="1">
      <alignment vertical="center"/>
    </xf>
    <xf numFmtId="0" fontId="6" fillId="0" borderId="15" xfId="0" applyFont="1" applyBorder="1" applyAlignment="1" applyProtection="1">
      <alignment vertical="center" wrapText="1"/>
    </xf>
    <xf numFmtId="0" fontId="6" fillId="5" borderId="17" xfId="0" applyFont="1" applyFill="1" applyBorder="1" applyAlignment="1" applyProtection="1">
      <alignment vertical="center"/>
      <protection locked="0"/>
    </xf>
    <xf numFmtId="0" fontId="6" fillId="5" borderId="38" xfId="0" applyFont="1" applyFill="1" applyBorder="1" applyAlignment="1" applyProtection="1">
      <alignment vertical="center"/>
      <protection locked="0"/>
    </xf>
    <xf numFmtId="0" fontId="6" fillId="0" borderId="17" xfId="0" applyFont="1" applyBorder="1" applyAlignment="1" applyProtection="1">
      <alignment vertical="center" wrapText="1"/>
    </xf>
    <xf numFmtId="177" fontId="7"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38" fontId="0" fillId="0" borderId="17" xfId="1" applyFont="1" applyBorder="1" applyAlignment="1" applyProtection="1">
      <alignment horizontal="center" vertical="center"/>
    </xf>
    <xf numFmtId="0" fontId="0" fillId="4" borderId="0" xfId="0" applyFill="1" applyProtection="1"/>
    <xf numFmtId="0" fontId="0" fillId="4" borderId="0" xfId="0" applyFill="1" applyAlignment="1" applyProtection="1">
      <alignment horizontal="center" vertical="center"/>
    </xf>
    <xf numFmtId="0" fontId="0" fillId="4" borderId="0" xfId="0" applyFill="1"/>
    <xf numFmtId="0" fontId="0" fillId="4" borderId="0" xfId="0" applyFill="1" applyBorder="1" applyAlignment="1" applyProtection="1">
      <alignment horizontal="center" vertical="center"/>
    </xf>
    <xf numFmtId="177" fontId="7" fillId="4" borderId="0" xfId="0" applyNumberFormat="1" applyFont="1" applyFill="1" applyBorder="1" applyAlignment="1" applyProtection="1">
      <alignment horizontal="center" vertical="center"/>
    </xf>
    <xf numFmtId="0" fontId="0" fillId="0" borderId="0" xfId="0" applyBorder="1" applyAlignment="1" applyProtection="1">
      <alignment horizontal="center" vertical="center"/>
    </xf>
    <xf numFmtId="177" fontId="7"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177" fontId="7" fillId="4"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38" fontId="0" fillId="5" borderId="0" xfId="1" applyFont="1" applyFill="1" applyBorder="1" applyAlignment="1">
      <alignment horizontal="center"/>
    </xf>
    <xf numFmtId="38" fontId="10" fillId="0" borderId="0" xfId="1" applyFont="1" applyFill="1" applyBorder="1" applyAlignment="1" applyProtection="1">
      <alignment horizontal="center" vertical="center"/>
    </xf>
    <xf numFmtId="38" fontId="0" fillId="0" borderId="0" xfId="0" applyNumberFormat="1" applyBorder="1" applyAlignment="1">
      <alignment horizontal="center"/>
    </xf>
    <xf numFmtId="38" fontId="0" fillId="0" borderId="1" xfId="0" applyNumberFormat="1" applyBorder="1" applyAlignment="1">
      <alignment horizontal="center"/>
    </xf>
    <xf numFmtId="0" fontId="0" fillId="0" borderId="1" xfId="0" applyBorder="1" applyAlignment="1">
      <alignment horizontal="center"/>
    </xf>
    <xf numFmtId="0" fontId="4" fillId="0" borderId="0" xfId="0"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38" fontId="0" fillId="0" borderId="17" xfId="1"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0" fillId="4" borderId="0" xfId="0" applyFill="1" applyBorder="1" applyAlignment="1" applyProtection="1">
      <alignment horizontal="center" vertical="center"/>
    </xf>
    <xf numFmtId="38" fontId="0" fillId="0" borderId="17" xfId="1" applyFont="1" applyBorder="1" applyAlignment="1" applyProtection="1">
      <alignment horizontal="center" vertical="center"/>
    </xf>
    <xf numFmtId="0" fontId="0" fillId="0" borderId="20" xfId="0" applyBorder="1" applyProtection="1"/>
    <xf numFmtId="0" fontId="0" fillId="0" borderId="1" xfId="0" applyBorder="1" applyProtection="1"/>
    <xf numFmtId="0" fontId="0" fillId="0" borderId="21" xfId="0" applyBorder="1" applyProtection="1"/>
    <xf numFmtId="178" fontId="15" fillId="0" borderId="0" xfId="0" applyNumberFormat="1" applyFont="1" applyFill="1" applyBorder="1" applyProtection="1"/>
    <xf numFmtId="0" fontId="0" fillId="0" borderId="23" xfId="0" applyFill="1" applyBorder="1" applyProtection="1"/>
    <xf numFmtId="0" fontId="15" fillId="0" borderId="0" xfId="0" applyFont="1" applyFill="1" applyBorder="1" applyProtection="1"/>
    <xf numFmtId="176" fontId="15" fillId="0" borderId="0" xfId="0" applyNumberFormat="1" applyFont="1" applyFill="1" applyBorder="1" applyProtection="1"/>
    <xf numFmtId="176" fontId="0" fillId="0" borderId="23" xfId="0" applyNumberFormat="1" applyFill="1" applyBorder="1" applyProtection="1"/>
    <xf numFmtId="176" fontId="15" fillId="0" borderId="25" xfId="0" applyNumberFormat="1" applyFont="1" applyFill="1" applyBorder="1" applyProtection="1"/>
    <xf numFmtId="176" fontId="0" fillId="0" borderId="13" xfId="0" applyNumberFormat="1" applyFill="1" applyBorder="1" applyProtection="1"/>
    <xf numFmtId="0" fontId="11" fillId="0" borderId="0" xfId="0" applyFont="1" applyFill="1" applyBorder="1" applyProtection="1"/>
    <xf numFmtId="176" fontId="16" fillId="0" borderId="0" xfId="0" applyNumberFormat="1" applyFont="1" applyFill="1" applyBorder="1" applyProtection="1"/>
    <xf numFmtId="176" fontId="16" fillId="0" borderId="25" xfId="0" applyNumberFormat="1" applyFont="1" applyFill="1" applyBorder="1" applyProtection="1"/>
    <xf numFmtId="0" fontId="0" fillId="0" borderId="0" xfId="0" applyFill="1" applyBorder="1" applyProtection="1"/>
    <xf numFmtId="0" fontId="15" fillId="0" borderId="22" xfId="0" applyFont="1" applyFill="1" applyBorder="1" applyProtection="1"/>
    <xf numFmtId="178" fontId="15" fillId="0" borderId="0" xfId="0" applyNumberFormat="1" applyFont="1" applyFill="1" applyBorder="1" applyAlignment="1" applyProtection="1">
      <alignment horizontal="right"/>
    </xf>
    <xf numFmtId="0" fontId="15" fillId="4" borderId="22" xfId="0" applyFont="1" applyFill="1" applyBorder="1" applyAlignment="1" applyProtection="1">
      <alignment horizontal="center" vertical="center"/>
    </xf>
    <xf numFmtId="0" fontId="15" fillId="0" borderId="12" xfId="0" applyFont="1" applyFill="1" applyBorder="1" applyProtection="1"/>
    <xf numFmtId="0" fontId="11" fillId="0" borderId="23" xfId="0" applyFont="1" applyFill="1" applyBorder="1" applyProtection="1"/>
    <xf numFmtId="176" fontId="16" fillId="0" borderId="23" xfId="0" applyNumberFormat="1" applyFont="1" applyFill="1" applyBorder="1" applyProtection="1"/>
    <xf numFmtId="176" fontId="16" fillId="0" borderId="13" xfId="0" applyNumberFormat="1" applyFont="1" applyFill="1" applyBorder="1" applyProtection="1"/>
    <xf numFmtId="177" fontId="0" fillId="0" borderId="0" xfId="0" applyNumberFormat="1" applyAlignment="1" applyProtection="1">
      <alignment horizontal="center" vertical="center"/>
    </xf>
    <xf numFmtId="0" fontId="12" fillId="0" borderId="0" xfId="0" applyFont="1" applyFill="1" applyBorder="1" applyAlignment="1" applyProtection="1">
      <alignment horizontal="center" vertical="center"/>
    </xf>
    <xf numFmtId="0" fontId="0" fillId="0" borderId="0" xfId="0" applyFill="1" applyBorder="1" applyAlignment="1" applyProtection="1">
      <alignment vertical="center"/>
    </xf>
    <xf numFmtId="176" fontId="18" fillId="0" borderId="0" xfId="0" applyNumberFormat="1" applyFont="1" applyFill="1" applyBorder="1" applyProtection="1"/>
    <xf numFmtId="176" fontId="18" fillId="0" borderId="25" xfId="0" applyNumberFormat="1" applyFont="1" applyFill="1" applyBorder="1" applyProtection="1"/>
    <xf numFmtId="38" fontId="10" fillId="0" borderId="17" xfId="1" applyFont="1" applyFill="1" applyBorder="1" applyAlignment="1" applyProtection="1">
      <alignment horizontal="center" vertical="center"/>
    </xf>
    <xf numFmtId="38" fontId="0" fillId="5" borderId="14" xfId="1" applyFont="1" applyFill="1" applyBorder="1" applyAlignment="1" applyProtection="1">
      <alignment horizontal="center" vertical="center"/>
    </xf>
    <xf numFmtId="38" fontId="0" fillId="5" borderId="16" xfId="1" applyFont="1" applyFill="1" applyBorder="1" applyAlignment="1" applyProtection="1">
      <alignment horizontal="center" vertical="center"/>
    </xf>
    <xf numFmtId="38" fontId="0" fillId="5" borderId="15" xfId="1" applyFont="1" applyFill="1" applyBorder="1" applyAlignment="1" applyProtection="1">
      <alignment horizontal="center" vertical="center"/>
    </xf>
    <xf numFmtId="38" fontId="0" fillId="5" borderId="17" xfId="1" applyFont="1" applyFill="1" applyBorder="1" applyAlignment="1" applyProtection="1">
      <alignment horizontal="center" vertical="center"/>
    </xf>
    <xf numFmtId="0" fontId="0" fillId="0" borderId="17" xfId="0" applyBorder="1" applyAlignment="1">
      <alignment horizontal="center"/>
    </xf>
    <xf numFmtId="38" fontId="0" fillId="0" borderId="17" xfId="1" applyFont="1" applyBorder="1" applyAlignment="1">
      <alignment horizontal="center"/>
    </xf>
    <xf numFmtId="38" fontId="0" fillId="0" borderId="17" xfId="0" applyNumberFormat="1" applyBorder="1" applyAlignment="1">
      <alignment horizontal="center"/>
    </xf>
    <xf numFmtId="38" fontId="0" fillId="5" borderId="17" xfId="1" applyFont="1" applyFill="1" applyBorder="1" applyAlignment="1">
      <alignment horizontal="center"/>
    </xf>
    <xf numFmtId="38" fontId="0" fillId="0" borderId="17" xfId="1" applyFont="1" applyBorder="1" applyAlignment="1" applyProtection="1">
      <alignment horizontal="center" vertical="center"/>
    </xf>
    <xf numFmtId="38" fontId="0" fillId="0" borderId="17" xfId="1" applyFont="1" applyBorder="1" applyAlignment="1" applyProtection="1">
      <alignment horizont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0" fillId="0" borderId="14" xfId="0"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0" borderId="41" xfId="0" applyBorder="1" applyAlignment="1">
      <alignment horizontal="center" vertical="center"/>
    </xf>
    <xf numFmtId="0" fontId="0" fillId="0" borderId="42" xfId="0" applyBorder="1" applyAlignment="1">
      <alignment horizontal="center" vertical="center"/>
    </xf>
    <xf numFmtId="177" fontId="7" fillId="0" borderId="0" xfId="0" applyNumberFormat="1" applyFont="1" applyBorder="1" applyAlignment="1" applyProtection="1">
      <alignment horizontal="center" vertical="center"/>
    </xf>
    <xf numFmtId="177" fontId="7" fillId="4" borderId="0" xfId="0" applyNumberFormat="1"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6" fillId="4" borderId="0"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xf>
    <xf numFmtId="0" fontId="0" fillId="4"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38" fontId="0" fillId="0" borderId="14" xfId="1" applyFont="1" applyBorder="1" applyAlignment="1" applyProtection="1">
      <alignment horizontal="center" vertical="center"/>
    </xf>
    <xf numFmtId="38" fontId="0" fillId="0" borderId="16" xfId="1" applyFont="1" applyBorder="1" applyAlignment="1" applyProtection="1">
      <alignment horizontal="center" vertical="center"/>
    </xf>
    <xf numFmtId="38" fontId="0" fillId="0" borderId="15" xfId="1" applyFont="1" applyBorder="1" applyAlignment="1" applyProtection="1">
      <alignment horizontal="center" vertical="center"/>
    </xf>
    <xf numFmtId="38" fontId="0" fillId="0" borderId="0" xfId="1" applyFont="1" applyAlignment="1" applyProtection="1">
      <alignment horizontal="center" vertical="center"/>
    </xf>
    <xf numFmtId="38" fontId="0" fillId="0" borderId="0" xfId="1" applyFont="1" applyAlignment="1" applyProtection="1">
      <alignment horizontal="center"/>
    </xf>
    <xf numFmtId="0" fontId="0" fillId="0" borderId="0" xfId="0" applyAlignment="1" applyProtection="1">
      <alignment horizontal="center" vertical="center"/>
    </xf>
    <xf numFmtId="0" fontId="0" fillId="0" borderId="44" xfId="0" applyBorder="1" applyAlignment="1">
      <alignment horizontal="center" vertical="center"/>
    </xf>
    <xf numFmtId="0" fontId="0" fillId="0" borderId="44" xfId="0" applyBorder="1" applyAlignment="1" applyProtection="1">
      <alignment horizontal="center" vertical="center"/>
    </xf>
    <xf numFmtId="3" fontId="0" fillId="0" borderId="0" xfId="0" applyNumberFormat="1" applyAlignment="1" applyProtection="1">
      <alignment horizontal="center" vertical="center"/>
    </xf>
    <xf numFmtId="38" fontId="0" fillId="0" borderId="1" xfId="0" applyNumberFormat="1" applyFill="1" applyBorder="1" applyAlignment="1" applyProtection="1">
      <alignment horizontal="center"/>
    </xf>
    <xf numFmtId="0" fontId="0" fillId="0" borderId="1" xfId="0" applyFill="1" applyBorder="1" applyAlignment="1" applyProtection="1">
      <alignment horizontal="center"/>
    </xf>
    <xf numFmtId="0" fontId="0" fillId="4" borderId="17" xfId="0" applyFill="1" applyBorder="1" applyAlignment="1" applyProtection="1">
      <alignment horizontal="center"/>
    </xf>
    <xf numFmtId="177" fontId="6" fillId="0" borderId="14" xfId="0" applyNumberFormat="1" applyFont="1" applyFill="1" applyBorder="1" applyAlignment="1" applyProtection="1">
      <alignment horizontal="center" vertical="center"/>
    </xf>
    <xf numFmtId="177" fontId="6" fillId="0" borderId="15" xfId="0" applyNumberFormat="1"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38" fontId="6" fillId="0" borderId="14" xfId="0" applyNumberFormat="1"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177" fontId="8" fillId="0" borderId="14" xfId="0" applyNumberFormat="1" applyFont="1" applyFill="1" applyBorder="1" applyAlignment="1" applyProtection="1">
      <alignment horizontal="right" vertical="center"/>
    </xf>
    <xf numFmtId="177" fontId="8" fillId="0" borderId="16" xfId="0" applyNumberFormat="1" applyFont="1" applyFill="1" applyBorder="1" applyAlignment="1" applyProtection="1">
      <alignment horizontal="right" vertical="center"/>
    </xf>
    <xf numFmtId="177" fontId="8" fillId="0" borderId="15" xfId="0" applyNumberFormat="1" applyFont="1" applyFill="1" applyBorder="1" applyAlignment="1" applyProtection="1">
      <alignment horizontal="right" vertical="center"/>
    </xf>
    <xf numFmtId="38" fontId="0" fillId="0" borderId="14" xfId="0" applyNumberFormat="1" applyFill="1" applyBorder="1" applyAlignment="1" applyProtection="1">
      <alignment horizontal="center"/>
    </xf>
    <xf numFmtId="0" fontId="0" fillId="0" borderId="16" xfId="0" applyFill="1" applyBorder="1" applyAlignment="1" applyProtection="1">
      <alignment horizontal="center"/>
    </xf>
    <xf numFmtId="0" fontId="0" fillId="0" borderId="15" xfId="0" applyFill="1" applyBorder="1" applyAlignment="1" applyProtection="1">
      <alignment horizontal="center"/>
    </xf>
    <xf numFmtId="0" fontId="0" fillId="2" borderId="17" xfId="0" applyFill="1" applyBorder="1" applyAlignment="1" applyProtection="1">
      <alignment horizontal="center" vertical="center"/>
    </xf>
    <xf numFmtId="38" fontId="8" fillId="0" borderId="20" xfId="1" applyFont="1" applyFill="1" applyBorder="1" applyAlignment="1" applyProtection="1">
      <alignment horizontal="right" vertical="center"/>
    </xf>
    <xf numFmtId="0" fontId="7" fillId="0" borderId="1" xfId="0" applyFont="1" applyFill="1" applyBorder="1" applyProtection="1"/>
    <xf numFmtId="0" fontId="7" fillId="0" borderId="21" xfId="0" applyFont="1" applyFill="1" applyBorder="1" applyProtection="1"/>
    <xf numFmtId="0" fontId="7" fillId="0" borderId="22" xfId="0" applyFont="1" applyFill="1" applyBorder="1" applyProtection="1"/>
    <xf numFmtId="0" fontId="7" fillId="0" borderId="0" xfId="0" applyFont="1" applyFill="1" applyProtection="1"/>
    <xf numFmtId="0" fontId="7" fillId="0" borderId="23" xfId="0" applyFont="1" applyFill="1" applyBorder="1" applyProtection="1"/>
    <xf numFmtId="0" fontId="7" fillId="0" borderId="12" xfId="0" applyFont="1" applyFill="1" applyBorder="1" applyProtection="1"/>
    <xf numFmtId="0" fontId="7" fillId="0" borderId="25" xfId="0" applyFont="1" applyFill="1" applyBorder="1" applyProtection="1"/>
    <xf numFmtId="0" fontId="7" fillId="0" borderId="13" xfId="0" applyFont="1" applyFill="1" applyBorder="1" applyProtection="1"/>
    <xf numFmtId="0" fontId="0" fillId="3" borderId="31" xfId="0" applyFill="1" applyBorder="1" applyAlignment="1" applyProtection="1">
      <alignment horizontal="center" vertical="center"/>
    </xf>
    <xf numFmtId="0" fontId="0" fillId="3" borderId="11" xfId="0" applyFill="1" applyBorder="1" applyAlignment="1" applyProtection="1">
      <alignment horizontal="center" vertical="center"/>
    </xf>
    <xf numFmtId="177"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30" xfId="0" applyFont="1" applyFill="1" applyBorder="1" applyAlignment="1" applyProtection="1">
      <alignment horizontal="center" vertical="center"/>
    </xf>
    <xf numFmtId="0" fontId="4" fillId="0" borderId="17" xfId="0" applyFont="1" applyBorder="1" applyAlignment="1" applyProtection="1">
      <alignment horizontal="center" vertical="center" textRotation="255"/>
    </xf>
    <xf numFmtId="0" fontId="0" fillId="0" borderId="17" xfId="0" applyBorder="1" applyAlignment="1" applyProtection="1">
      <alignment horizontal="center" vertical="center" textRotation="255"/>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protection locked="0"/>
    </xf>
    <xf numFmtId="0" fontId="0" fillId="5" borderId="19" xfId="0" applyFill="1" applyBorder="1" applyProtection="1">
      <protection locked="0"/>
    </xf>
    <xf numFmtId="177" fontId="6" fillId="5" borderId="38" xfId="0" applyNumberFormat="1" applyFont="1" applyFill="1" applyBorder="1" applyAlignment="1" applyProtection="1">
      <alignment horizontal="right" vertical="center"/>
      <protection locked="0"/>
    </xf>
    <xf numFmtId="0" fontId="0" fillId="5" borderId="38" xfId="0" applyFill="1" applyBorder="1" applyProtection="1">
      <protection locked="0"/>
    </xf>
    <xf numFmtId="0" fontId="0" fillId="5" borderId="39" xfId="0" applyFill="1" applyBorder="1" applyProtection="1">
      <protection locked="0"/>
    </xf>
    <xf numFmtId="177" fontId="6" fillId="0" borderId="18" xfId="0" applyNumberFormat="1" applyFont="1" applyFill="1" applyBorder="1" applyAlignment="1" applyProtection="1">
      <alignment horizontal="right" vertical="center"/>
    </xf>
    <xf numFmtId="0" fontId="0" fillId="0" borderId="10" xfId="0" applyFill="1" applyBorder="1" applyProtection="1"/>
    <xf numFmtId="0" fontId="0" fillId="0" borderId="29" xfId="0" applyFill="1" applyBorder="1" applyProtection="1"/>
    <xf numFmtId="0" fontId="6" fillId="5" borderId="16" xfId="0" applyFont="1" applyFill="1" applyBorder="1" applyAlignment="1" applyProtection="1">
      <alignment horizontal="center" vertical="center"/>
      <protection locked="0"/>
    </xf>
    <xf numFmtId="0" fontId="0" fillId="5" borderId="15" xfId="0" applyFill="1" applyBorder="1" applyProtection="1">
      <protection locked="0"/>
    </xf>
    <xf numFmtId="177" fontId="6" fillId="5" borderId="17" xfId="0" applyNumberFormat="1" applyFont="1" applyFill="1" applyBorder="1" applyAlignment="1" applyProtection="1">
      <alignment horizontal="right" vertical="center"/>
      <protection locked="0"/>
    </xf>
    <xf numFmtId="0" fontId="0" fillId="5" borderId="17" xfId="0" applyFill="1" applyBorder="1" applyProtection="1">
      <protection locked="0"/>
    </xf>
    <xf numFmtId="0" fontId="0" fillId="5" borderId="37" xfId="0" applyFill="1" applyBorder="1" applyProtection="1">
      <protection locked="0"/>
    </xf>
    <xf numFmtId="177" fontId="6" fillId="0" borderId="14" xfId="0" applyNumberFormat="1" applyFont="1" applyFill="1" applyBorder="1" applyAlignment="1" applyProtection="1">
      <alignment horizontal="right" vertical="center"/>
    </xf>
    <xf numFmtId="0" fontId="0" fillId="0" borderId="16" xfId="0" applyFill="1" applyBorder="1" applyProtection="1"/>
    <xf numFmtId="0" fontId="0" fillId="0" borderId="24" xfId="0" applyFill="1" applyBorder="1" applyProtection="1"/>
    <xf numFmtId="0" fontId="6" fillId="0" borderId="17" xfId="0" applyFont="1" applyBorder="1" applyAlignment="1" applyProtection="1">
      <alignment horizontal="center" vertical="center" wrapText="1"/>
    </xf>
    <xf numFmtId="0" fontId="6" fillId="0" borderId="37"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35" xfId="0" applyFont="1" applyBorder="1" applyAlignment="1" applyProtection="1">
      <alignment horizontal="center" vertical="center" wrapText="1"/>
    </xf>
    <xf numFmtId="0" fontId="0" fillId="0" borderId="35" xfId="0" applyBorder="1" applyProtection="1"/>
    <xf numFmtId="0" fontId="0" fillId="0" borderId="36" xfId="0" applyBorder="1" applyProtection="1"/>
    <xf numFmtId="0" fontId="6" fillId="0" borderId="26" xfId="0" applyFont="1" applyBorder="1" applyAlignment="1" applyProtection="1">
      <alignment horizontal="center" vertical="center" wrapText="1"/>
    </xf>
    <xf numFmtId="0" fontId="0" fillId="0" borderId="27" xfId="0" applyBorder="1" applyProtection="1"/>
    <xf numFmtId="0" fontId="0" fillId="0" borderId="28" xfId="0" applyBorder="1" applyProtection="1"/>
    <xf numFmtId="0" fontId="13"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6" xfId="0" applyFont="1" applyBorder="1" applyProtection="1"/>
    <xf numFmtId="0" fontId="4" fillId="0" borderId="15" xfId="0" applyFont="1" applyBorder="1" applyProtection="1"/>
    <xf numFmtId="0" fontId="0" fillId="0" borderId="17" xfId="0" applyBorder="1" applyAlignment="1" applyProtection="1">
      <alignment horizontal="center" vertical="center"/>
    </xf>
    <xf numFmtId="2" fontId="4" fillId="0" borderId="14" xfId="0" applyNumberFormat="1" applyFont="1" applyBorder="1" applyAlignment="1" applyProtection="1">
      <alignment horizontal="center" vertical="center"/>
    </xf>
    <xf numFmtId="2" fontId="4" fillId="0" borderId="16" xfId="0" applyNumberFormat="1" applyFont="1" applyBorder="1" applyProtection="1"/>
    <xf numFmtId="2" fontId="4" fillId="0" borderId="15" xfId="0" applyNumberFormat="1" applyFont="1" applyBorder="1" applyProtection="1"/>
    <xf numFmtId="176" fontId="4" fillId="0" borderId="14" xfId="0" applyNumberFormat="1" applyFont="1" applyBorder="1" applyAlignment="1" applyProtection="1">
      <alignment horizontal="center" vertical="center"/>
    </xf>
    <xf numFmtId="176" fontId="0" fillId="0" borderId="17" xfId="0" applyNumberFormat="1" applyBorder="1" applyAlignment="1" applyProtection="1">
      <alignment horizontal="center" vertical="center"/>
    </xf>
    <xf numFmtId="0" fontId="0" fillId="0" borderId="1" xfId="0" applyFill="1" applyBorder="1" applyAlignment="1" applyProtection="1">
      <alignment horizontal="center" vertical="center"/>
    </xf>
    <xf numFmtId="177" fontId="0" fillId="0" borderId="1" xfId="0" applyNumberFormat="1" applyFill="1" applyBorder="1" applyAlignment="1" applyProtection="1">
      <alignment horizontal="center"/>
    </xf>
    <xf numFmtId="177" fontId="0" fillId="0" borderId="1" xfId="0" applyNumberFormat="1" applyFill="1" applyBorder="1" applyAlignment="1" applyProtection="1">
      <alignment horizontal="right"/>
    </xf>
    <xf numFmtId="0" fontId="0" fillId="0" borderId="1" xfId="0" applyFill="1" applyBorder="1" applyAlignment="1" applyProtection="1">
      <alignment horizontal="right"/>
    </xf>
    <xf numFmtId="176" fontId="0" fillId="0" borderId="17" xfId="0" applyNumberFormat="1" applyFill="1" applyBorder="1" applyAlignment="1" applyProtection="1">
      <alignment horizontal="center" vertical="center"/>
    </xf>
    <xf numFmtId="0" fontId="9" fillId="0" borderId="14" xfId="0" applyFont="1" applyFill="1" applyBorder="1" applyAlignment="1" applyProtection="1">
      <alignment horizontal="center" vertical="center" wrapText="1"/>
    </xf>
    <xf numFmtId="0" fontId="7" fillId="0" borderId="16" xfId="0" applyFont="1" applyFill="1" applyBorder="1" applyProtection="1"/>
    <xf numFmtId="0" fontId="7" fillId="0" borderId="15" xfId="0" applyFont="1" applyFill="1" applyBorder="1" applyProtection="1"/>
    <xf numFmtId="0" fontId="7" fillId="0" borderId="14"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0" fillId="0" borderId="17" xfId="0" applyFill="1" applyBorder="1" applyAlignment="1" applyProtection="1">
      <alignment horizontal="center" vertical="center"/>
    </xf>
    <xf numFmtId="0" fontId="0" fillId="0" borderId="17" xfId="0" applyFont="1" applyBorder="1" applyAlignment="1" applyProtection="1">
      <alignment horizontal="left" vertical="center"/>
    </xf>
    <xf numFmtId="0" fontId="0" fillId="0" borderId="17" xfId="0" applyBorder="1" applyAlignment="1" applyProtection="1">
      <alignment horizontal="left" vertical="center"/>
    </xf>
    <xf numFmtId="0" fontId="0" fillId="0" borderId="14" xfId="0" applyFont="1" applyBorder="1" applyAlignment="1" applyProtection="1">
      <alignment horizontal="center" vertical="center"/>
    </xf>
  </cellXfs>
  <cellStyles count="2">
    <cellStyle name="桁区切り" xfId="1" builtinId="6"/>
    <cellStyle name="標準" xfId="0" builtinId="0"/>
  </cellStyles>
  <dxfs count="24">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ill>
        <patternFill>
          <bgColor rgb="FFFF0000"/>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41"/>
        </patternFill>
      </fill>
    </dxf>
    <dxf>
      <fill>
        <patternFill>
          <bgColor indexed="41"/>
        </patternFill>
      </fill>
    </dxf>
    <dxf>
      <font>
        <condense val="0"/>
        <extend val="0"/>
        <color auto="1"/>
      </font>
      <fill>
        <patternFill>
          <bgColor indexed="41"/>
        </patternFill>
      </fill>
    </dxf>
    <dxf>
      <font>
        <condense val="0"/>
        <extend val="0"/>
        <color auto="1"/>
      </font>
    </dxf>
    <dxf>
      <font>
        <condense val="0"/>
        <extend val="0"/>
        <color auto="1"/>
      </font>
    </dxf>
    <dxf>
      <fill>
        <patternFill>
          <bgColor rgb="FFFF0000"/>
        </patternFill>
      </fill>
    </dxf>
    <dxf>
      <fill>
        <patternFill>
          <bgColor rgb="FFFF0000"/>
        </patternFill>
      </fill>
    </dxf>
    <dxf>
      <font>
        <condense val="0"/>
        <extend val="0"/>
        <color auto="1"/>
      </font>
      <fill>
        <patternFill>
          <bgColor indexed="41"/>
        </patternFill>
      </fill>
    </dxf>
    <dxf>
      <font>
        <condense val="0"/>
        <extend val="0"/>
        <color auto="1"/>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257178</xdr:colOff>
      <xdr:row>18</xdr:row>
      <xdr:rowOff>100012</xdr:rowOff>
    </xdr:from>
    <xdr:to>
      <xdr:col>13</xdr:col>
      <xdr:colOff>73823</xdr:colOff>
      <xdr:row>18</xdr:row>
      <xdr:rowOff>461959</xdr:rowOff>
    </xdr:to>
    <xdr:sp macro="" textlink="">
      <xdr:nvSpPr>
        <xdr:cNvPr id="2" name="左矢印 1"/>
        <xdr:cNvSpPr>
          <a:spLocks noChangeArrowheads="1"/>
        </xdr:cNvSpPr>
      </xdr:nvSpPr>
      <xdr:spPr bwMode="auto">
        <a:xfrm rot="16200000">
          <a:off x="3218264" y="2768201"/>
          <a:ext cx="361947" cy="1883570"/>
        </a:xfrm>
        <a:prstGeom prst="leftArrow">
          <a:avLst>
            <a:gd name="adj1" fmla="val 50000"/>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233"/>
  <sheetViews>
    <sheetView tabSelected="1" view="pageBreakPreview" zoomScale="80" zoomScaleNormal="80" zoomScaleSheetLayoutView="80" workbookViewId="0">
      <selection activeCell="V25" sqref="V25:Y25"/>
    </sheetView>
  </sheetViews>
  <sheetFormatPr defaultColWidth="3.625" defaultRowHeight="13.5" x14ac:dyDescent="0.15"/>
  <cols>
    <col min="1" max="1" width="3.375" style="2" customWidth="1"/>
    <col min="2" max="2" width="4.375" style="2" customWidth="1"/>
    <col min="3" max="3" width="4.125" style="2" customWidth="1"/>
    <col min="4" max="4" width="8.625" style="2" customWidth="1"/>
    <col min="5" max="5" width="7.25" style="2" customWidth="1"/>
    <col min="6" max="19" width="3.875" style="2" customWidth="1"/>
    <col min="20" max="28" width="3.375" style="2" customWidth="1"/>
    <col min="29" max="29" width="9.875" style="2" customWidth="1"/>
    <col min="30" max="30" width="8.5" style="2" customWidth="1"/>
    <col min="31" max="31" width="6.625" style="2" customWidth="1"/>
    <col min="32" max="32" width="8.75" style="2" customWidth="1"/>
    <col min="33" max="34" width="8" style="2" customWidth="1"/>
    <col min="35" max="35" width="3.375" style="2" customWidth="1"/>
    <col min="36" max="36" width="8.125" style="2" customWidth="1"/>
    <col min="37" max="37" width="6.5" style="2" customWidth="1"/>
    <col min="38" max="38" width="6.5" style="2" hidden="1" customWidth="1"/>
    <col min="39" max="40" width="5.25" style="2" hidden="1" customWidth="1"/>
    <col min="41" max="41" width="7.5" style="2" hidden="1" customWidth="1"/>
    <col min="42" max="42" width="3" style="2" hidden="1" customWidth="1"/>
    <col min="43" max="43" width="7.5" style="2" hidden="1" customWidth="1"/>
    <col min="44" max="46" width="3" style="2" hidden="1" customWidth="1"/>
    <col min="47" max="47" width="2.75" hidden="1" customWidth="1"/>
    <col min="48" max="48" width="6.875" hidden="1" customWidth="1"/>
    <col min="49" max="50" width="3" hidden="1" customWidth="1"/>
    <col min="51" max="51" width="3.75" hidden="1" customWidth="1"/>
    <col min="52" max="55" width="3" hidden="1" customWidth="1"/>
    <col min="56" max="56" width="10.25" hidden="1" customWidth="1"/>
    <col min="57" max="58" width="3" hidden="1" customWidth="1"/>
    <col min="59" max="59" width="2.75" hidden="1" customWidth="1"/>
    <col min="60" max="62" width="3" hidden="1" customWidth="1"/>
    <col min="63" max="63" width="3.75" hidden="1" customWidth="1"/>
    <col min="64" max="66" width="3" hidden="1" customWidth="1"/>
    <col min="67" max="67" width="2.75" hidden="1" customWidth="1"/>
    <col min="68" max="70" width="3" hidden="1" customWidth="1"/>
    <col min="71" max="71" width="2.75" hidden="1" customWidth="1"/>
    <col min="72" max="74" width="3" hidden="1" customWidth="1"/>
    <col min="75" max="75" width="3.75" hidden="1" customWidth="1"/>
    <col min="76" max="78" width="3" hidden="1" customWidth="1"/>
    <col min="79" max="79" width="2.75" hidden="1" customWidth="1"/>
    <col min="80" max="81" width="3" hidden="1" customWidth="1"/>
    <col min="82" max="82" width="3" style="2" customWidth="1"/>
    <col min="83" max="83" width="3.625" style="2" customWidth="1"/>
    <col min="84" max="16384" width="3.625" style="2"/>
  </cols>
  <sheetData>
    <row r="1" spans="1:81" ht="45" customHeight="1" x14ac:dyDescent="0.15">
      <c r="A1" s="236" t="s">
        <v>103</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63"/>
      <c r="AM1" s="63"/>
      <c r="AN1" s="63"/>
      <c r="AO1" s="63"/>
      <c r="AP1" s="63"/>
      <c r="AQ1" s="63"/>
      <c r="AR1" s="63"/>
      <c r="AS1" s="63"/>
      <c r="AT1" s="1"/>
    </row>
    <row r="2" spans="1:81" ht="15" customHeight="1" x14ac:dyDescent="0.15">
      <c r="B2" s="3" t="s">
        <v>9</v>
      </c>
      <c r="C2" s="4"/>
      <c r="D2" s="4"/>
      <c r="E2" s="237" t="s">
        <v>4</v>
      </c>
      <c r="F2" s="238"/>
      <c r="G2" s="238"/>
      <c r="H2" s="239"/>
      <c r="I2" s="237" t="s">
        <v>10</v>
      </c>
      <c r="J2" s="238"/>
      <c r="K2" s="238"/>
      <c r="L2" s="239"/>
      <c r="M2" s="237" t="s">
        <v>5</v>
      </c>
      <c r="N2" s="238"/>
      <c r="O2" s="238"/>
      <c r="P2" s="239"/>
      <c r="Q2" s="240" t="s">
        <v>15</v>
      </c>
      <c r="R2" s="240"/>
      <c r="S2" s="240"/>
      <c r="T2" s="240" t="s">
        <v>108</v>
      </c>
      <c r="U2" s="240"/>
      <c r="V2" s="240"/>
      <c r="W2" s="240"/>
      <c r="X2" s="240"/>
      <c r="Y2" s="240"/>
      <c r="Z2" s="240"/>
      <c r="AA2" s="240"/>
      <c r="AB2" s="240"/>
      <c r="AC2" s="240"/>
      <c r="AD2" s="240"/>
      <c r="AE2" s="240"/>
      <c r="AF2" s="240"/>
      <c r="AI2" s="3"/>
      <c r="AJ2" s="5"/>
      <c r="AK2" s="5"/>
      <c r="AL2" s="5"/>
      <c r="AM2" s="5"/>
      <c r="AN2" s="5"/>
      <c r="AU2" s="133" t="s">
        <v>36</v>
      </c>
      <c r="AV2" s="134"/>
      <c r="AW2" s="134"/>
      <c r="AX2" s="134"/>
      <c r="AY2" s="134"/>
      <c r="AZ2" s="134"/>
      <c r="BA2" s="134"/>
      <c r="BB2" s="134"/>
      <c r="BC2" s="134"/>
      <c r="BD2" s="134"/>
      <c r="BE2" s="135"/>
      <c r="BG2" s="46"/>
      <c r="BH2" s="133" t="s">
        <v>47</v>
      </c>
      <c r="BI2" s="134"/>
      <c r="BJ2" s="134"/>
      <c r="BK2" s="134"/>
      <c r="BL2" s="134"/>
      <c r="BM2" s="134"/>
      <c r="BN2" s="134"/>
      <c r="BO2" s="134"/>
      <c r="BP2" s="134"/>
      <c r="BQ2" s="135"/>
      <c r="BR2" s="61"/>
      <c r="BS2" s="46"/>
      <c r="BT2" s="133" t="s">
        <v>46</v>
      </c>
      <c r="BU2" s="134"/>
      <c r="BV2" s="134"/>
      <c r="BW2" s="134"/>
      <c r="BX2" s="134"/>
      <c r="BY2" s="134"/>
      <c r="BZ2" s="134"/>
      <c r="CA2" s="134"/>
      <c r="CB2" s="134"/>
      <c r="CC2" s="135"/>
    </row>
    <row r="3" spans="1:81" ht="15" customHeight="1" x14ac:dyDescent="0.15">
      <c r="B3" s="237" t="s">
        <v>1</v>
      </c>
      <c r="C3" s="238"/>
      <c r="D3" s="239"/>
      <c r="E3" s="241">
        <v>6.8</v>
      </c>
      <c r="F3" s="242"/>
      <c r="G3" s="242"/>
      <c r="H3" s="243"/>
      <c r="I3" s="244">
        <v>21000</v>
      </c>
      <c r="J3" s="238"/>
      <c r="K3" s="238"/>
      <c r="L3" s="239"/>
      <c r="M3" s="244">
        <v>23000</v>
      </c>
      <c r="N3" s="238"/>
      <c r="O3" s="238"/>
      <c r="P3" s="239"/>
      <c r="Q3" s="250">
        <v>670000</v>
      </c>
      <c r="R3" s="250"/>
      <c r="S3" s="250"/>
      <c r="T3" s="259"/>
      <c r="U3" s="259"/>
      <c r="V3" s="259"/>
      <c r="W3" s="259"/>
      <c r="X3" s="259"/>
      <c r="Y3" s="259"/>
      <c r="Z3" s="259"/>
      <c r="AA3" s="259"/>
      <c r="AB3" s="259"/>
      <c r="AC3" s="259"/>
      <c r="AD3" s="259"/>
      <c r="AE3" s="259"/>
      <c r="AF3" s="259"/>
      <c r="AI3" s="7"/>
      <c r="AJ3" s="5"/>
      <c r="AK3" s="5"/>
      <c r="AL3" s="5"/>
      <c r="AM3" s="5"/>
      <c r="AN3" s="5"/>
      <c r="AU3" s="136"/>
      <c r="AV3" s="131" t="s">
        <v>38</v>
      </c>
      <c r="AW3" s="131"/>
      <c r="AX3" s="131"/>
      <c r="AY3" s="131"/>
      <c r="AZ3" s="131"/>
      <c r="BA3" s="131"/>
      <c r="BB3" s="131"/>
      <c r="BC3" s="131" t="s">
        <v>39</v>
      </c>
      <c r="BD3" s="131"/>
      <c r="BE3" s="131"/>
      <c r="BG3" s="136"/>
      <c r="BH3" s="131" t="s">
        <v>38</v>
      </c>
      <c r="BI3" s="131"/>
      <c r="BJ3" s="131"/>
      <c r="BK3" s="131"/>
      <c r="BL3" s="131"/>
      <c r="BM3" s="131"/>
      <c r="BN3" s="131"/>
      <c r="BO3" s="131" t="s">
        <v>39</v>
      </c>
      <c r="BP3" s="131"/>
      <c r="BQ3" s="131"/>
      <c r="BR3" s="43"/>
      <c r="BS3" s="136"/>
      <c r="BT3" s="131" t="s">
        <v>38</v>
      </c>
      <c r="BU3" s="131"/>
      <c r="BV3" s="131"/>
      <c r="BW3" s="131"/>
      <c r="BX3" s="131"/>
      <c r="BY3" s="131"/>
      <c r="BZ3" s="131"/>
      <c r="CA3" s="131" t="s">
        <v>39</v>
      </c>
      <c r="CB3" s="131"/>
      <c r="CC3" s="131"/>
    </row>
    <row r="4" spans="1:81" ht="15" customHeight="1" x14ac:dyDescent="0.15">
      <c r="B4" s="237" t="s">
        <v>2</v>
      </c>
      <c r="C4" s="238"/>
      <c r="D4" s="239"/>
      <c r="E4" s="241">
        <v>2.8</v>
      </c>
      <c r="F4" s="242"/>
      <c r="G4" s="242"/>
      <c r="H4" s="243"/>
      <c r="I4" s="244">
        <v>8100</v>
      </c>
      <c r="J4" s="238"/>
      <c r="K4" s="238"/>
      <c r="L4" s="239"/>
      <c r="M4" s="244">
        <v>8800</v>
      </c>
      <c r="N4" s="238"/>
      <c r="O4" s="238"/>
      <c r="P4" s="239"/>
      <c r="Q4" s="245">
        <v>260000</v>
      </c>
      <c r="R4" s="245"/>
      <c r="S4" s="245"/>
      <c r="T4" s="259"/>
      <c r="U4" s="259"/>
      <c r="V4" s="259"/>
      <c r="W4" s="259"/>
      <c r="X4" s="259"/>
      <c r="Y4" s="259"/>
      <c r="Z4" s="259"/>
      <c r="AA4" s="259"/>
      <c r="AB4" s="259"/>
      <c r="AC4" s="259"/>
      <c r="AD4" s="259"/>
      <c r="AE4" s="259"/>
      <c r="AF4" s="259"/>
      <c r="AI4" s="7"/>
      <c r="AJ4" s="5"/>
      <c r="AK4" s="5"/>
      <c r="AL4" s="5"/>
      <c r="AM4" s="5"/>
      <c r="AN4" s="5"/>
      <c r="AU4" s="137"/>
      <c r="AV4" s="132"/>
      <c r="AW4" s="132"/>
      <c r="AX4" s="132"/>
      <c r="AY4" s="132"/>
      <c r="AZ4" s="132"/>
      <c r="BA4" s="132"/>
      <c r="BB4" s="132"/>
      <c r="BC4" s="132"/>
      <c r="BD4" s="132"/>
      <c r="BE4" s="132"/>
      <c r="BG4" s="137"/>
      <c r="BH4" s="132"/>
      <c r="BI4" s="132"/>
      <c r="BJ4" s="132"/>
      <c r="BK4" s="132"/>
      <c r="BL4" s="132"/>
      <c r="BM4" s="132"/>
      <c r="BN4" s="132"/>
      <c r="BO4" s="132"/>
      <c r="BP4" s="132"/>
      <c r="BQ4" s="132"/>
      <c r="BR4" s="69"/>
      <c r="BS4" s="137"/>
      <c r="BT4" s="132"/>
      <c r="BU4" s="132"/>
      <c r="BV4" s="132"/>
      <c r="BW4" s="132"/>
      <c r="BX4" s="132"/>
      <c r="BY4" s="132"/>
      <c r="BZ4" s="132"/>
      <c r="CA4" s="132"/>
      <c r="CB4" s="132"/>
      <c r="CC4" s="132"/>
    </row>
    <row r="5" spans="1:81" ht="15" customHeight="1" x14ac:dyDescent="0.15">
      <c r="B5" s="237" t="s">
        <v>3</v>
      </c>
      <c r="C5" s="238"/>
      <c r="D5" s="239"/>
      <c r="E5" s="241">
        <v>2.6</v>
      </c>
      <c r="F5" s="242"/>
      <c r="G5" s="242"/>
      <c r="H5" s="243"/>
      <c r="I5" s="244">
        <v>9100</v>
      </c>
      <c r="J5" s="238"/>
      <c r="K5" s="238"/>
      <c r="L5" s="239"/>
      <c r="M5" s="244">
        <v>6700</v>
      </c>
      <c r="N5" s="238"/>
      <c r="O5" s="238"/>
      <c r="P5" s="239"/>
      <c r="Q5" s="245">
        <v>170000</v>
      </c>
      <c r="R5" s="245"/>
      <c r="S5" s="245"/>
      <c r="T5" s="258" t="s">
        <v>109</v>
      </c>
      <c r="U5" s="258"/>
      <c r="V5" s="258"/>
      <c r="W5" s="258"/>
      <c r="X5" s="258"/>
      <c r="Y5" s="258"/>
      <c r="Z5" s="258"/>
      <c r="AA5" s="258"/>
      <c r="AB5" s="258"/>
      <c r="AC5" s="258"/>
      <c r="AD5" s="258"/>
      <c r="AE5" s="258"/>
      <c r="AF5" s="258"/>
      <c r="AG5" s="5"/>
      <c r="AH5" s="5"/>
      <c r="AI5" s="5"/>
      <c r="AJ5" s="5"/>
      <c r="AK5" s="5"/>
      <c r="AL5" s="5"/>
      <c r="AM5" s="5"/>
      <c r="AN5" s="5"/>
      <c r="AU5" s="36">
        <f>IF(AND($AZ$17&gt;=AV5,$AZ$17&lt;=AZ5),1,0)</f>
        <v>1</v>
      </c>
      <c r="AV5" s="129">
        <v>0</v>
      </c>
      <c r="AW5" s="129"/>
      <c r="AX5" s="129"/>
      <c r="AY5" s="89" t="s">
        <v>37</v>
      </c>
      <c r="AZ5" s="129">
        <v>650999</v>
      </c>
      <c r="BA5" s="129"/>
      <c r="BB5" s="129"/>
      <c r="BC5" s="130">
        <f>IF(AU5=1,0,0)</f>
        <v>0</v>
      </c>
      <c r="BD5" s="130"/>
      <c r="BE5" s="130"/>
      <c r="BG5" s="36">
        <f>IF(AND($BL$17&gt;=BH5,$BL$17&lt;=BL5,$BN$21&lt;=10000000),1,(IF(AND($BL$17&gt;=BH5,$BL$17&lt;=BL5,$BN$21&gt;10000000,$BN$21&lt;=20000000),2,(IF(AND($BL$17&gt;=BH5,$BL$17&lt;=BL5,$BN$21&gt;20000000),3,0)))))</f>
        <v>1</v>
      </c>
      <c r="BH5" s="129">
        <v>0</v>
      </c>
      <c r="BI5" s="129"/>
      <c r="BJ5" s="129"/>
      <c r="BK5" s="71" t="s">
        <v>37</v>
      </c>
      <c r="BL5" s="129">
        <v>1299999</v>
      </c>
      <c r="BM5" s="129"/>
      <c r="BN5" s="129"/>
      <c r="BO5" s="130">
        <f>MAX(IF(BG5=1,BL17-600000,IF(BG5=2,BL17-500000,IF(BG5=3,BL17-400000,0))),)</f>
        <v>0</v>
      </c>
      <c r="BP5" s="130"/>
      <c r="BQ5" s="130"/>
      <c r="BR5" s="44"/>
      <c r="BS5" s="36">
        <f>IF(AND($BX$17&gt;=BT5,$BX$17&lt;=BX5,$BZ$21&lt;=10000000),1,(IF(AND($BX$17&gt;=BT5,$BX$17&lt;=BX5,$BZ$21&gt;10000000,$BZ$21&lt;=20000000),2,(IF(AND($BX$17&gt;=BT5,$BX$17&lt;=BX5,$BZ$21&gt;20000000),3,0)))))</f>
        <v>1</v>
      </c>
      <c r="BT5" s="129">
        <v>0</v>
      </c>
      <c r="BU5" s="129"/>
      <c r="BV5" s="129"/>
      <c r="BW5" s="71" t="s">
        <v>37</v>
      </c>
      <c r="BX5" s="129">
        <v>3299999</v>
      </c>
      <c r="BY5" s="129"/>
      <c r="BZ5" s="129"/>
      <c r="CA5" s="130">
        <f>MAX(IF(BS5=1,BX17-1100000,IF(BS5=2,BX17-1000000,IF(BS5=3,BX17-900000,0))),)</f>
        <v>0</v>
      </c>
      <c r="CB5" s="130"/>
      <c r="CC5" s="130"/>
    </row>
    <row r="6" spans="1:81" ht="15" customHeight="1" x14ac:dyDescent="0.15">
      <c r="B6" s="260" t="s">
        <v>104</v>
      </c>
      <c r="C6" s="238"/>
      <c r="D6" s="239"/>
      <c r="E6" s="237">
        <v>0.27</v>
      </c>
      <c r="F6" s="238"/>
      <c r="G6" s="238"/>
      <c r="H6" s="239"/>
      <c r="I6" s="244">
        <v>1082</v>
      </c>
      <c r="J6" s="238"/>
      <c r="K6" s="238"/>
      <c r="L6" s="239"/>
      <c r="M6" s="244">
        <v>1019</v>
      </c>
      <c r="N6" s="238"/>
      <c r="O6" s="238"/>
      <c r="P6" s="239"/>
      <c r="Q6" s="245">
        <v>30000</v>
      </c>
      <c r="R6" s="245"/>
      <c r="S6" s="245"/>
      <c r="T6" s="258" t="s">
        <v>112</v>
      </c>
      <c r="U6" s="258"/>
      <c r="V6" s="258"/>
      <c r="W6" s="258"/>
      <c r="X6" s="258"/>
      <c r="Y6" s="258"/>
      <c r="Z6" s="258"/>
      <c r="AA6" s="258"/>
      <c r="AB6" s="258"/>
      <c r="AC6" s="258"/>
      <c r="AD6" s="258"/>
      <c r="AE6" s="258"/>
      <c r="AF6" s="258"/>
      <c r="AG6" s="5"/>
      <c r="AH6" s="5"/>
      <c r="AI6" s="5"/>
      <c r="AJ6" s="5"/>
      <c r="AK6" s="5"/>
      <c r="AL6" s="5"/>
      <c r="AM6" s="5"/>
      <c r="AN6" s="5"/>
      <c r="AU6" s="36">
        <f>IF(AND($AZ$17&gt;=AV6,$AZ$17&lt;=AZ6),1,0)</f>
        <v>0</v>
      </c>
      <c r="AV6" s="129">
        <v>651000</v>
      </c>
      <c r="AW6" s="129"/>
      <c r="AX6" s="129"/>
      <c r="AY6" s="89" t="s">
        <v>37</v>
      </c>
      <c r="AZ6" s="129">
        <v>1900000</v>
      </c>
      <c r="BA6" s="129"/>
      <c r="BB6" s="129"/>
      <c r="BC6" s="130">
        <f>IF(AU6=1,AZ17-650000,0)</f>
        <v>0</v>
      </c>
      <c r="BD6" s="130"/>
      <c r="BE6" s="130"/>
      <c r="BG6" s="36">
        <f>IF(AND($BL$17&gt;=BH6,$BL$17&lt;=BL6,$BN$21&lt;=10000000),1,(IF(AND($BL$17&gt;=BH6,$BL$17&lt;=BL6,$BN$21&gt;10000000,$BN$21&lt;=20000000),2,(IF(AND($BL$17&gt;=BH6,$BL$17&lt;=BL6,$BN$21&gt;20000000),3,0)))))</f>
        <v>0</v>
      </c>
      <c r="BH6" s="129">
        <v>1300000</v>
      </c>
      <c r="BI6" s="129"/>
      <c r="BJ6" s="129"/>
      <c r="BK6" s="71" t="s">
        <v>37</v>
      </c>
      <c r="BL6" s="129">
        <v>4099999</v>
      </c>
      <c r="BM6" s="129"/>
      <c r="BN6" s="129"/>
      <c r="BO6" s="130">
        <f>IF(BG6=1,BL17*0.75-275000,IF(BG6=2,BL17*0.75-175000,IF(BG6=3,BL17*0.75-75000,0)))</f>
        <v>0</v>
      </c>
      <c r="BP6" s="130"/>
      <c r="BQ6" s="130"/>
      <c r="BR6" s="44"/>
      <c r="BS6" s="36">
        <f>IF(AND($BX$17&gt;=BT6,$BX$17&lt;=BX6,$BZ$21&lt;=10000000),1,(IF(AND($BX$17&gt;=BT6,$BX$17&lt;=BX6,$BZ$21&gt;10000000,$BZ$21&lt;=20000000),2,(IF(AND($BX$17&gt;=BT6,$BX$17&lt;=BX6,$BZ$21&gt;20000000),3,0)))))</f>
        <v>0</v>
      </c>
      <c r="BT6" s="129">
        <v>3300000</v>
      </c>
      <c r="BU6" s="129"/>
      <c r="BV6" s="129"/>
      <c r="BW6" s="71" t="s">
        <v>37</v>
      </c>
      <c r="BX6" s="129">
        <v>4099999</v>
      </c>
      <c r="BY6" s="129"/>
      <c r="BZ6" s="129"/>
      <c r="CA6" s="130">
        <f>IF(BS6=1,BX17*0.75-275000,IF(BS6=2,BX17*0.75-175000,IF(BS6=3,BX17*0.75-75000,0)))</f>
        <v>0</v>
      </c>
      <c r="CB6" s="130"/>
      <c r="CC6" s="130"/>
    </row>
    <row r="7" spans="1:81" ht="15" customHeight="1" thickBot="1" x14ac:dyDescent="0.2">
      <c r="B7" s="87"/>
      <c r="C7" s="29"/>
      <c r="D7" s="29"/>
      <c r="E7" s="87"/>
      <c r="F7" s="29"/>
      <c r="G7" s="29"/>
      <c r="H7" s="29"/>
      <c r="I7" s="30"/>
      <c r="J7" s="29"/>
      <c r="K7" s="29"/>
      <c r="L7" s="29"/>
      <c r="M7" s="30"/>
      <c r="N7" s="29"/>
      <c r="O7" s="29"/>
      <c r="P7" s="29"/>
      <c r="Q7" s="31"/>
      <c r="R7" s="31"/>
      <c r="S7" s="31"/>
      <c r="AE7" s="5"/>
      <c r="AF7" s="5"/>
      <c r="AG7" s="5"/>
      <c r="AH7" s="5"/>
      <c r="AI7" s="5"/>
      <c r="AJ7" s="5"/>
      <c r="AK7" s="5"/>
      <c r="AL7" s="5"/>
      <c r="AM7" s="5"/>
      <c r="AN7" s="5"/>
      <c r="AU7" s="36">
        <f>IF(AND($AZ$17&gt;=AV7,$AZ$17&lt;=AZ7),1,0)</f>
        <v>0</v>
      </c>
      <c r="AV7" s="129">
        <v>1900001</v>
      </c>
      <c r="AW7" s="129"/>
      <c r="AX7" s="129"/>
      <c r="AY7" s="93" t="s">
        <v>37</v>
      </c>
      <c r="AZ7" s="129">
        <v>3599999</v>
      </c>
      <c r="BA7" s="129"/>
      <c r="BB7" s="129"/>
      <c r="BC7" s="130">
        <f>IF(AU7=1,ROUNDDOWN(AZ17/4,-3)*2.8-80000,0)</f>
        <v>0</v>
      </c>
      <c r="BD7" s="130"/>
      <c r="BE7" s="130"/>
      <c r="BG7" s="36">
        <f>IF(AND($BL$17&gt;=BH7,$BL$17&lt;=BL7,$BN$21&lt;=10000000),1,(IF(AND($BL$17&gt;=BH7,$BL$17&lt;=BL7,$BN$21&gt;10000000,$BN$21&lt;=20000000),2,(IF(AND($BL$17&gt;=BH7,$BL$17&lt;=BL7,$BN$21&gt;20000000),3,0)))))</f>
        <v>0</v>
      </c>
      <c r="BH7" s="129">
        <v>4100000</v>
      </c>
      <c r="BI7" s="129"/>
      <c r="BJ7" s="129"/>
      <c r="BK7" s="71" t="s">
        <v>37</v>
      </c>
      <c r="BL7" s="129">
        <v>7699999</v>
      </c>
      <c r="BM7" s="129"/>
      <c r="BN7" s="129"/>
      <c r="BO7" s="130">
        <f>IF(BG7=1,BL17*0.85-685000,IF(BG7=2,BL17*0.85-585000,IF(BG7=3,BL17*0.85-485000,0)))</f>
        <v>0</v>
      </c>
      <c r="BP7" s="130"/>
      <c r="BQ7" s="130"/>
      <c r="BR7" s="44"/>
      <c r="BS7" s="36">
        <f>IF(AND($BX$17&gt;=BT7,$BX$17&lt;=BX7,$BZ$21&lt;=10000000),1,(IF(AND($BX$17&gt;=BT7,$BX$17&lt;=BX7,$BZ$21&gt;10000000,$BZ$21&lt;=20000000),2,(IF(AND($BX$17&gt;=BT7,$BX$17&lt;=BX7,$BZ$21&gt;20000000),3,0)))))</f>
        <v>0</v>
      </c>
      <c r="BT7" s="129">
        <v>4100000</v>
      </c>
      <c r="BU7" s="129"/>
      <c r="BV7" s="129"/>
      <c r="BW7" s="71" t="s">
        <v>37</v>
      </c>
      <c r="BX7" s="129">
        <v>7699999</v>
      </c>
      <c r="BY7" s="129"/>
      <c r="BZ7" s="129"/>
      <c r="CA7" s="130">
        <f>IF(BS7=1,BX17*0.85-685000,IF(BS7=2,BX17*0.85-585000,IF(BS7=3,BX17*0.85-485000,0)))</f>
        <v>0</v>
      </c>
      <c r="CB7" s="130"/>
      <c r="CC7" s="130"/>
    </row>
    <row r="8" spans="1:81" ht="15" customHeight="1" thickTop="1" x14ac:dyDescent="0.15">
      <c r="B8" s="14"/>
      <c r="C8" s="24" t="s">
        <v>25</v>
      </c>
      <c r="D8" s="24"/>
      <c r="E8" s="24"/>
      <c r="F8" s="15"/>
      <c r="G8" s="15"/>
      <c r="H8" s="15"/>
      <c r="I8" s="15"/>
      <c r="J8" s="15"/>
      <c r="K8" s="15"/>
      <c r="L8" s="15"/>
      <c r="M8" s="15"/>
      <c r="N8" s="15"/>
      <c r="O8" s="15"/>
      <c r="P8" s="15"/>
      <c r="Q8" s="15"/>
      <c r="R8" s="15"/>
      <c r="S8" s="15"/>
      <c r="T8" s="15"/>
      <c r="U8" s="15"/>
      <c r="V8" s="15"/>
      <c r="W8" s="15"/>
      <c r="X8" s="15"/>
      <c r="Y8" s="15"/>
      <c r="Z8" s="15"/>
      <c r="AA8" s="15"/>
      <c r="AB8" s="15"/>
      <c r="AC8" s="16"/>
      <c r="AE8" s="5"/>
      <c r="AF8" s="5"/>
      <c r="AG8" s="5"/>
      <c r="AH8" s="5"/>
      <c r="AI8" s="5"/>
      <c r="AJ8" s="5"/>
      <c r="AK8" s="5"/>
      <c r="AL8" s="5"/>
      <c r="AM8" s="5"/>
      <c r="AN8" s="5"/>
      <c r="AU8" s="36">
        <f>IF(AND($AZ$17&gt;=AV8,$AZ$17&lt;=AZ8),1,0)</f>
        <v>0</v>
      </c>
      <c r="AV8" s="129">
        <v>3600000</v>
      </c>
      <c r="AW8" s="129"/>
      <c r="AX8" s="129"/>
      <c r="AY8" s="93" t="s">
        <v>37</v>
      </c>
      <c r="AZ8" s="129">
        <v>6599999</v>
      </c>
      <c r="BA8" s="129"/>
      <c r="BB8" s="129"/>
      <c r="BC8" s="130">
        <f>IF(AU8=1,ROUNDDOWN(AZ17/4,-3)*3.2-440000,0)</f>
        <v>0</v>
      </c>
      <c r="BD8" s="130"/>
      <c r="BE8" s="130"/>
      <c r="BG8" s="36">
        <f>IF(AND($BL$17&gt;=BH8,$BL$17&lt;=BL8,$BN$21&lt;=10000000),1,(IF(AND($BL$17&gt;=BH8,$BL$17&lt;=BL8,$BN$21&gt;10000000,$BN$21&lt;=20000000),2,(IF(AND($BL$17&gt;=BH8,$BL$17&lt;=BL8,$BN$21&gt;20000000),3,0)))))</f>
        <v>0</v>
      </c>
      <c r="BH8" s="129">
        <v>7700000</v>
      </c>
      <c r="BI8" s="129"/>
      <c r="BJ8" s="129"/>
      <c r="BK8" s="71" t="s">
        <v>37</v>
      </c>
      <c r="BL8" s="129">
        <v>9999999</v>
      </c>
      <c r="BM8" s="129"/>
      <c r="BN8" s="129"/>
      <c r="BO8" s="130">
        <f>IF(BG8=1,BL17*0.95-1455000,IF(BG8=2,BL17*0.95-1355000,IF(BG8=3,BL17*0.95-1255000,0)))</f>
        <v>0</v>
      </c>
      <c r="BP8" s="130"/>
      <c r="BQ8" s="130"/>
      <c r="BR8" s="44"/>
      <c r="BS8" s="36">
        <f>IF(AND($BX$17&gt;=BT8,$BX$17&lt;=BX8,$BZ$21&lt;=10000000),1,(IF(AND($BX$17&gt;=BT8,$BX$17&lt;=BX8,$BZ$21&gt;10000000,$BZ$21&lt;=20000000),2,(IF(AND($BX$17&gt;=BT8,$BX$17&lt;=BX8,$BZ$21&gt;20000000),3,0)))))</f>
        <v>0</v>
      </c>
      <c r="BT8" s="129">
        <v>7700000</v>
      </c>
      <c r="BU8" s="129"/>
      <c r="BV8" s="129"/>
      <c r="BW8" s="71" t="s">
        <v>37</v>
      </c>
      <c r="BX8" s="129">
        <v>9999999</v>
      </c>
      <c r="BY8" s="129"/>
      <c r="BZ8" s="129"/>
      <c r="CA8" s="130">
        <f>IF(BS8=1,BX17*0.95-1455000,IF(BS8=2,BX17*0.95-1355000,IF(BS8=3,BX17*0.95-1255000,0)))</f>
        <v>0</v>
      </c>
      <c r="CB8" s="130"/>
      <c r="CC8" s="130"/>
    </row>
    <row r="9" spans="1:81" ht="15" customHeight="1" x14ac:dyDescent="0.15">
      <c r="B9" s="17" t="s">
        <v>100</v>
      </c>
      <c r="C9" s="12"/>
      <c r="D9" s="12"/>
      <c r="E9" s="12"/>
      <c r="F9" s="12"/>
      <c r="G9" s="12"/>
      <c r="H9" s="12"/>
      <c r="I9" s="12"/>
      <c r="J9" s="12"/>
      <c r="K9" s="12"/>
      <c r="L9" s="12"/>
      <c r="M9" s="12"/>
      <c r="N9" s="12"/>
      <c r="O9" s="12"/>
      <c r="P9" s="12"/>
      <c r="Q9" s="12"/>
      <c r="R9" s="12"/>
      <c r="S9" s="12"/>
      <c r="T9" s="12"/>
      <c r="U9" s="12"/>
      <c r="V9" s="12"/>
      <c r="W9" s="12"/>
      <c r="X9" s="12"/>
      <c r="Y9" s="12"/>
      <c r="Z9" s="12"/>
      <c r="AA9" s="12"/>
      <c r="AB9" s="12"/>
      <c r="AC9" s="18"/>
      <c r="AE9" s="5"/>
      <c r="AF9" s="5"/>
      <c r="AG9" s="5"/>
      <c r="AH9" s="5"/>
      <c r="AI9" s="5"/>
      <c r="AJ9" s="5"/>
      <c r="AK9" s="5"/>
      <c r="AL9" s="5"/>
      <c r="AM9" s="5"/>
      <c r="AN9" s="5"/>
      <c r="AU9" s="36">
        <f>IF(AND($AZ$17&gt;=AV9,$AZ$17&lt;=AZ9),1,0)</f>
        <v>0</v>
      </c>
      <c r="AV9" s="129">
        <v>6600000</v>
      </c>
      <c r="AW9" s="129"/>
      <c r="AX9" s="129"/>
      <c r="AY9" s="93" t="s">
        <v>37</v>
      </c>
      <c r="AZ9" s="129">
        <v>8499999</v>
      </c>
      <c r="BA9" s="129"/>
      <c r="BB9" s="129"/>
      <c r="BC9" s="130">
        <f>IF(AU9=1,AZ17*0.9-1100000,0)</f>
        <v>0</v>
      </c>
      <c r="BD9" s="130"/>
      <c r="BE9" s="130"/>
      <c r="BG9" s="36">
        <f>IF(AND($BL$17&gt;=BH9,$BN$21&lt;=10000000),1,(IF(AND($BL$17&gt;=BH9,$BN$21&gt;10000000,$BN$21&lt;=20000000),2,(IF(AND($BL$17&gt;=BH9,$BN$21&gt;20000000),3,0)))))</f>
        <v>0</v>
      </c>
      <c r="BH9" s="129">
        <v>10000000</v>
      </c>
      <c r="BI9" s="129"/>
      <c r="BJ9" s="129"/>
      <c r="BK9" s="71" t="s">
        <v>37</v>
      </c>
      <c r="BL9" s="129"/>
      <c r="BM9" s="129"/>
      <c r="BN9" s="129"/>
      <c r="BO9" s="130">
        <f>IF(BG9=1,BL17-1955000,IF(BG9=2,BL17-1855000,IF(BG9=3,BL17-1755000,0)))</f>
        <v>0</v>
      </c>
      <c r="BP9" s="130"/>
      <c r="BQ9" s="130"/>
      <c r="BR9" s="44"/>
      <c r="BS9" s="36">
        <f>IF(AND($BX$17&gt;=BT9,$BZ$21&lt;=10000000),1,(IF(AND($BX$17&gt;=BT9,$BZ$21&gt;10000000,$BZ$21&lt;=20000000),2,(IF(AND($BX$17&gt;=BT9,$BZ$21&gt;20000000),3,0)))))</f>
        <v>0</v>
      </c>
      <c r="BT9" s="129">
        <v>10000000</v>
      </c>
      <c r="BU9" s="129"/>
      <c r="BV9" s="129"/>
      <c r="BW9" s="71" t="s">
        <v>37</v>
      </c>
      <c r="BX9" s="129"/>
      <c r="BY9" s="129"/>
      <c r="BZ9" s="129"/>
      <c r="CA9" s="130">
        <f>IF(BS9=1,BX17-1955000,IF(BS9=2,BX17-1855000,IF(BS9=3,BX17-1755000,0)))</f>
        <v>0</v>
      </c>
      <c r="CB9" s="130"/>
      <c r="CC9" s="130"/>
    </row>
    <row r="10" spans="1:81" ht="15" customHeight="1" x14ac:dyDescent="0.15">
      <c r="B10" s="17"/>
      <c r="C10" s="12"/>
      <c r="D10" s="12" t="s">
        <v>30</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8"/>
      <c r="AE10" s="5"/>
      <c r="AF10" s="5"/>
      <c r="AG10" s="5"/>
      <c r="AH10" s="5"/>
      <c r="AI10" s="5"/>
      <c r="AJ10" s="5"/>
      <c r="AK10" s="5"/>
      <c r="AL10" s="5"/>
      <c r="AM10" s="5"/>
      <c r="AN10" s="5"/>
      <c r="AU10" s="36">
        <f>IF($AZ$17&gt;=AV10,1,0)</f>
        <v>0</v>
      </c>
      <c r="AV10" s="129">
        <v>8500000</v>
      </c>
      <c r="AW10" s="129"/>
      <c r="AX10" s="129"/>
      <c r="AY10" s="93" t="s">
        <v>37</v>
      </c>
      <c r="AZ10" s="129"/>
      <c r="BA10" s="129"/>
      <c r="BB10" s="129"/>
      <c r="BC10" s="130">
        <f>IF(AU10=1,AZ17-1950000,0)</f>
        <v>0</v>
      </c>
      <c r="BD10" s="130"/>
      <c r="BE10" s="130"/>
      <c r="BG10" s="36"/>
      <c r="BH10" s="129"/>
      <c r="BI10" s="129"/>
      <c r="BJ10" s="129"/>
      <c r="BK10" s="71" t="s">
        <v>37</v>
      </c>
      <c r="BL10" s="129"/>
      <c r="BM10" s="129"/>
      <c r="BN10" s="129"/>
      <c r="BO10" s="130"/>
      <c r="BP10" s="130"/>
      <c r="BQ10" s="130"/>
      <c r="BR10" s="44"/>
      <c r="BS10" s="36"/>
      <c r="BT10" s="129"/>
      <c r="BU10" s="129"/>
      <c r="BV10" s="129"/>
      <c r="BW10" s="71" t="s">
        <v>37</v>
      </c>
      <c r="BX10" s="129"/>
      <c r="BY10" s="129"/>
      <c r="BZ10" s="129"/>
      <c r="CA10" s="130"/>
      <c r="CB10" s="130"/>
      <c r="CC10" s="130"/>
    </row>
    <row r="11" spans="1:81" ht="15" customHeight="1" x14ac:dyDescent="0.15">
      <c r="B11" s="17"/>
      <c r="C11" s="12"/>
      <c r="D11" s="12" t="s">
        <v>102</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8"/>
      <c r="AE11" s="5"/>
      <c r="AF11" s="5"/>
      <c r="AG11" s="5"/>
      <c r="AH11" s="5"/>
      <c r="AI11" s="5"/>
      <c r="AJ11" s="5"/>
      <c r="AK11" s="5"/>
      <c r="AL11" s="5"/>
      <c r="AM11" s="5"/>
      <c r="AN11" s="5"/>
      <c r="AU11" s="36"/>
      <c r="AV11" s="129"/>
      <c r="AW11" s="129"/>
      <c r="AX11" s="129"/>
      <c r="AY11" s="89" t="s">
        <v>37</v>
      </c>
      <c r="AZ11" s="129"/>
      <c r="BA11" s="129"/>
      <c r="BB11" s="129"/>
      <c r="BC11" s="130"/>
      <c r="BD11" s="130"/>
      <c r="BE11" s="130"/>
      <c r="BG11" s="36"/>
      <c r="BH11" s="129"/>
      <c r="BI11" s="129"/>
      <c r="BJ11" s="129"/>
      <c r="BK11" s="71" t="s">
        <v>37</v>
      </c>
      <c r="BL11" s="129"/>
      <c r="BM11" s="129"/>
      <c r="BN11" s="129"/>
      <c r="BO11" s="130"/>
      <c r="BP11" s="130"/>
      <c r="BQ11" s="130"/>
      <c r="BR11" s="44"/>
      <c r="BS11" s="36"/>
      <c r="BT11" s="129"/>
      <c r="BU11" s="129"/>
      <c r="BV11" s="129"/>
      <c r="BW11" s="71" t="s">
        <v>37</v>
      </c>
      <c r="BX11" s="129"/>
      <c r="BY11" s="129"/>
      <c r="BZ11" s="129"/>
      <c r="CA11" s="130"/>
      <c r="CB11" s="130"/>
      <c r="CC11" s="130"/>
    </row>
    <row r="12" spans="1:81" ht="15" customHeight="1" x14ac:dyDescent="0.15">
      <c r="B12" s="17" t="s">
        <v>99</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8"/>
      <c r="AE12" s="5"/>
      <c r="AF12" s="5"/>
      <c r="AG12" s="5"/>
      <c r="AH12" s="5"/>
      <c r="AI12" s="5"/>
      <c r="AJ12" s="5"/>
      <c r="AK12" s="5"/>
      <c r="AL12" s="5"/>
      <c r="AM12" s="5"/>
      <c r="AN12" s="5"/>
      <c r="AU12" s="36"/>
      <c r="AV12" s="129"/>
      <c r="AW12" s="129"/>
      <c r="AX12" s="129"/>
      <c r="AY12" s="89" t="s">
        <v>37</v>
      </c>
      <c r="AZ12" s="129"/>
      <c r="BA12" s="129"/>
      <c r="BB12" s="129"/>
      <c r="BC12" s="130"/>
      <c r="BD12" s="130"/>
      <c r="BE12" s="130"/>
      <c r="BG12" s="36"/>
      <c r="BH12" s="129"/>
      <c r="BI12" s="129"/>
      <c r="BJ12" s="129"/>
      <c r="BK12" s="71" t="s">
        <v>37</v>
      </c>
      <c r="BL12" s="129"/>
      <c r="BM12" s="129"/>
      <c r="BN12" s="129"/>
      <c r="BO12" s="130"/>
      <c r="BP12" s="130"/>
      <c r="BQ12" s="130"/>
      <c r="BR12" s="44"/>
      <c r="BS12" s="36"/>
      <c r="BT12" s="129"/>
      <c r="BU12" s="129"/>
      <c r="BV12" s="129"/>
      <c r="BW12" s="71" t="s">
        <v>37</v>
      </c>
      <c r="BX12" s="129"/>
      <c r="BY12" s="129"/>
      <c r="BZ12" s="129"/>
      <c r="CA12" s="130"/>
      <c r="CB12" s="130"/>
      <c r="CC12" s="130"/>
    </row>
    <row r="13" spans="1:81" ht="15" customHeight="1" x14ac:dyDescent="0.15">
      <c r="B13" s="17" t="s">
        <v>34</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8"/>
      <c r="AE13" s="5"/>
      <c r="AF13" s="5"/>
      <c r="AG13" s="5"/>
      <c r="AH13" s="5"/>
      <c r="AI13" s="5"/>
      <c r="AJ13" s="5"/>
      <c r="AK13" s="5"/>
      <c r="AL13" s="5"/>
      <c r="AM13" s="5"/>
      <c r="AN13" s="5"/>
      <c r="AU13" s="36"/>
      <c r="AV13" s="129"/>
      <c r="AW13" s="129"/>
      <c r="AX13" s="129"/>
      <c r="AY13" s="89" t="s">
        <v>37</v>
      </c>
      <c r="AZ13" s="129"/>
      <c r="BA13" s="129"/>
      <c r="BB13" s="129"/>
      <c r="BC13" s="130"/>
      <c r="BD13" s="130"/>
      <c r="BE13" s="130"/>
      <c r="BG13" s="36"/>
      <c r="BH13" s="129"/>
      <c r="BI13" s="129"/>
      <c r="BJ13" s="129"/>
      <c r="BK13" s="71" t="s">
        <v>37</v>
      </c>
      <c r="BL13" s="129"/>
      <c r="BM13" s="129"/>
      <c r="BN13" s="129"/>
      <c r="BO13" s="130"/>
      <c r="BP13" s="130"/>
      <c r="BQ13" s="130"/>
      <c r="BR13" s="44"/>
      <c r="BS13" s="36"/>
      <c r="BT13" s="129"/>
      <c r="BU13" s="129"/>
      <c r="BV13" s="129"/>
      <c r="BW13" s="71" t="s">
        <v>37</v>
      </c>
      <c r="BX13" s="129"/>
      <c r="BY13" s="129"/>
      <c r="BZ13" s="129"/>
      <c r="CA13" s="130"/>
      <c r="CB13" s="130"/>
      <c r="CC13" s="130"/>
    </row>
    <row r="14" spans="1:81" ht="15" customHeight="1" x14ac:dyDescent="0.15">
      <c r="B14" s="17" t="s">
        <v>41</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8"/>
      <c r="AE14" s="5"/>
      <c r="AF14" s="5"/>
      <c r="AG14" s="5"/>
      <c r="AH14" s="5"/>
      <c r="AI14" s="5"/>
      <c r="AJ14" s="5"/>
      <c r="AK14" s="5"/>
      <c r="AL14" s="5"/>
      <c r="AM14" s="5"/>
      <c r="AN14" s="5"/>
      <c r="AU14" s="36"/>
      <c r="AV14" s="129"/>
      <c r="AW14" s="129"/>
      <c r="AX14" s="129"/>
      <c r="AY14" s="89" t="s">
        <v>37</v>
      </c>
      <c r="AZ14" s="129"/>
      <c r="BA14" s="129"/>
      <c r="BB14" s="129"/>
      <c r="BC14" s="130"/>
      <c r="BD14" s="130"/>
      <c r="BE14" s="130"/>
      <c r="BG14" s="36"/>
      <c r="BH14" s="129"/>
      <c r="BI14" s="129"/>
      <c r="BJ14" s="129"/>
      <c r="BK14" s="71" t="s">
        <v>37</v>
      </c>
      <c r="BL14" s="129"/>
      <c r="BM14" s="129"/>
      <c r="BN14" s="129"/>
      <c r="BO14" s="130"/>
      <c r="BP14" s="130"/>
      <c r="BQ14" s="130"/>
      <c r="BR14" s="44"/>
      <c r="BS14" s="36"/>
      <c r="BT14" s="129"/>
      <c r="BU14" s="129"/>
      <c r="BV14" s="129"/>
      <c r="BW14" s="71" t="s">
        <v>37</v>
      </c>
      <c r="BX14" s="129"/>
      <c r="BY14" s="129"/>
      <c r="BZ14" s="129"/>
      <c r="CA14" s="130"/>
      <c r="CB14" s="130"/>
      <c r="CC14" s="130"/>
    </row>
    <row r="15" spans="1:81" ht="15" customHeight="1" x14ac:dyDescent="0.15">
      <c r="B15" s="17" t="s">
        <v>35</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8"/>
      <c r="AE15" s="5"/>
      <c r="AF15" s="5"/>
      <c r="AG15" s="5"/>
      <c r="AH15" s="5"/>
      <c r="AI15" s="5"/>
      <c r="AJ15" s="5"/>
      <c r="AK15" s="5"/>
      <c r="AL15" s="5"/>
      <c r="AM15" s="5"/>
      <c r="AN15" s="5"/>
      <c r="AU15" s="36"/>
      <c r="AV15" s="129"/>
      <c r="AW15" s="129"/>
      <c r="AX15" s="129"/>
      <c r="AY15" s="89" t="s">
        <v>37</v>
      </c>
      <c r="AZ15" s="129"/>
      <c r="BA15" s="129"/>
      <c r="BB15" s="129"/>
      <c r="BC15" s="130"/>
      <c r="BD15" s="130"/>
      <c r="BE15" s="130"/>
      <c r="BG15" s="36"/>
      <c r="BH15" s="129"/>
      <c r="BI15" s="129"/>
      <c r="BJ15" s="129"/>
      <c r="BK15" s="71" t="s">
        <v>37</v>
      </c>
      <c r="BL15" s="129"/>
      <c r="BM15" s="129"/>
      <c r="BN15" s="129"/>
      <c r="BO15" s="130"/>
      <c r="BP15" s="130"/>
      <c r="BQ15" s="130"/>
      <c r="BR15" s="44"/>
      <c r="BS15" s="36"/>
      <c r="BT15" s="129"/>
      <c r="BU15" s="129"/>
      <c r="BV15" s="129"/>
      <c r="BW15" s="71" t="s">
        <v>37</v>
      </c>
      <c r="BX15" s="129"/>
      <c r="BY15" s="129"/>
      <c r="BZ15" s="129"/>
      <c r="CA15" s="130"/>
      <c r="CB15" s="130"/>
      <c r="CC15" s="130"/>
    </row>
    <row r="16" spans="1:81" ht="15" customHeight="1" x14ac:dyDescent="0.15">
      <c r="B16" s="17" t="s">
        <v>88</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8"/>
      <c r="AE16" s="5"/>
      <c r="AF16" s="5"/>
      <c r="AG16" s="5"/>
      <c r="AH16" s="5"/>
      <c r="AI16" s="5"/>
      <c r="AJ16" s="5"/>
      <c r="AK16" s="5"/>
      <c r="AL16" s="5"/>
      <c r="AM16" s="5"/>
      <c r="AN16" s="5"/>
      <c r="AU16" s="70"/>
      <c r="AV16" s="41"/>
      <c r="AW16" s="41"/>
      <c r="AX16" s="41"/>
      <c r="AY16" s="70"/>
      <c r="AZ16" s="33"/>
      <c r="BA16" s="33"/>
      <c r="BB16" s="33"/>
      <c r="BC16" s="38"/>
      <c r="BD16" s="38"/>
      <c r="BE16" s="38"/>
      <c r="BG16" s="70"/>
      <c r="BH16" s="41"/>
      <c r="BI16" s="41"/>
      <c r="BJ16" s="41"/>
      <c r="BK16" s="70"/>
      <c r="BL16" s="33"/>
      <c r="BM16" s="33"/>
      <c r="BN16" s="33"/>
      <c r="BO16" s="38"/>
      <c r="BP16" s="38"/>
      <c r="BQ16" s="38"/>
      <c r="BR16" s="38"/>
      <c r="BS16" s="70"/>
      <c r="BT16" s="41"/>
      <c r="BU16" s="41"/>
      <c r="BV16" s="41"/>
      <c r="BW16" s="70"/>
      <c r="BX16" s="33"/>
      <c r="BY16" s="33"/>
      <c r="BZ16" s="33"/>
      <c r="CA16" s="38"/>
      <c r="CB16" s="38"/>
      <c r="CC16" s="38"/>
    </row>
    <row r="17" spans="1:81" ht="15" customHeight="1" x14ac:dyDescent="0.15">
      <c r="B17" s="17"/>
      <c r="C17" s="13" t="s">
        <v>26</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9"/>
      <c r="AE17" s="5"/>
      <c r="AF17" s="5"/>
      <c r="AG17" s="5"/>
      <c r="AH17" s="5"/>
      <c r="AI17" s="5"/>
      <c r="AJ17" s="5"/>
      <c r="AK17" s="5"/>
      <c r="AL17" s="5"/>
      <c r="AM17" s="5"/>
      <c r="AN17" s="5"/>
      <c r="AU17" s="70"/>
      <c r="AV17" s="120" t="s">
        <v>31</v>
      </c>
      <c r="AW17" s="120"/>
      <c r="AX17" s="120"/>
      <c r="AY17" s="120"/>
      <c r="AZ17" s="121">
        <f>F22</f>
        <v>0</v>
      </c>
      <c r="BA17" s="122"/>
      <c r="BB17" s="123"/>
      <c r="BC17" s="39"/>
      <c r="BD17" s="40"/>
      <c r="BE17" s="40"/>
      <c r="BG17" s="70"/>
      <c r="BH17" s="120" t="s">
        <v>43</v>
      </c>
      <c r="BI17" s="120"/>
      <c r="BJ17" s="120"/>
      <c r="BK17" s="120"/>
      <c r="BL17" s="124">
        <f>J22</f>
        <v>0</v>
      </c>
      <c r="BM17" s="124"/>
      <c r="BN17" s="124"/>
      <c r="BO17" s="39"/>
      <c r="BP17" s="40"/>
      <c r="BQ17" s="40"/>
      <c r="BR17" s="40"/>
      <c r="BS17" s="70"/>
      <c r="BT17" s="120" t="s">
        <v>43</v>
      </c>
      <c r="BU17" s="120"/>
      <c r="BV17" s="120"/>
      <c r="BW17" s="120"/>
      <c r="BX17" s="124">
        <f>BL17</f>
        <v>0</v>
      </c>
      <c r="BY17" s="124"/>
      <c r="BZ17" s="124"/>
      <c r="CA17" s="39"/>
      <c r="CB17" s="40"/>
      <c r="CC17" s="40"/>
    </row>
    <row r="18" spans="1:81" ht="15" customHeight="1" thickBot="1" x14ac:dyDescent="0.2">
      <c r="B18" s="20"/>
      <c r="C18" s="21" t="s">
        <v>27</v>
      </c>
      <c r="D18" s="22"/>
      <c r="E18" s="21"/>
      <c r="F18" s="21"/>
      <c r="G18" s="21"/>
      <c r="H18" s="21"/>
      <c r="I18" s="21"/>
      <c r="J18" s="21"/>
      <c r="K18" s="21"/>
      <c r="L18" s="21"/>
      <c r="M18" s="21"/>
      <c r="N18" s="21"/>
      <c r="O18" s="21"/>
      <c r="P18" s="21"/>
      <c r="Q18" s="21"/>
      <c r="R18" s="21"/>
      <c r="S18" s="21"/>
      <c r="T18" s="21"/>
      <c r="U18" s="21"/>
      <c r="V18" s="21"/>
      <c r="W18" s="21"/>
      <c r="X18" s="21"/>
      <c r="Y18" s="21"/>
      <c r="Z18" s="21"/>
      <c r="AA18" s="21"/>
      <c r="AB18" s="21"/>
      <c r="AC18" s="23"/>
      <c r="AE18" s="5"/>
      <c r="AF18" s="5"/>
      <c r="AG18" s="5"/>
      <c r="AH18" s="5"/>
      <c r="AI18" s="5"/>
      <c r="AJ18" s="5"/>
      <c r="AK18" s="5"/>
      <c r="AL18" s="5"/>
      <c r="AM18" s="5"/>
      <c r="AN18" s="5"/>
      <c r="AV18" s="120" t="s">
        <v>42</v>
      </c>
      <c r="AW18" s="120"/>
      <c r="AX18" s="120"/>
      <c r="AY18" s="120"/>
      <c r="AZ18" s="127">
        <f>SUM(BC5:BE15)</f>
        <v>0</v>
      </c>
      <c r="BA18" s="125"/>
      <c r="BB18" s="125"/>
      <c r="BH18" s="120" t="s">
        <v>44</v>
      </c>
      <c r="BI18" s="120"/>
      <c r="BJ18" s="120"/>
      <c r="BK18" s="120"/>
      <c r="BL18" s="127">
        <f>SUM(BO5:BQ15)</f>
        <v>0</v>
      </c>
      <c r="BM18" s="125"/>
      <c r="BN18" s="125"/>
      <c r="BO18" s="57">
        <f>IF(D22&lt;65,1,0)</f>
        <v>1</v>
      </c>
      <c r="BT18" s="120" t="s">
        <v>44</v>
      </c>
      <c r="BU18" s="120"/>
      <c r="BV18" s="120"/>
      <c r="BW18" s="120"/>
      <c r="BX18" s="127">
        <f>SUM(CA5:CC15)</f>
        <v>0</v>
      </c>
      <c r="BY18" s="125"/>
      <c r="BZ18" s="125"/>
      <c r="CA18" s="57">
        <f>IF(D22&lt;65,0,1)</f>
        <v>0</v>
      </c>
    </row>
    <row r="19" spans="1:81" ht="42.75" customHeight="1" thickTop="1" thickBot="1" x14ac:dyDescent="0.2">
      <c r="B19" s="25"/>
      <c r="C19" s="25"/>
      <c r="D19" s="25"/>
      <c r="E19" s="25"/>
      <c r="F19" s="25"/>
      <c r="G19" s="25"/>
      <c r="H19" s="25"/>
      <c r="I19" s="25"/>
      <c r="J19" s="10"/>
      <c r="K19" s="10"/>
      <c r="L19" s="7"/>
      <c r="M19" s="7"/>
      <c r="N19" s="7"/>
      <c r="O19" s="7"/>
      <c r="P19" s="7"/>
      <c r="Q19" s="7"/>
      <c r="R19" s="7"/>
      <c r="S19" s="7"/>
      <c r="T19" s="7"/>
      <c r="U19" s="7"/>
      <c r="V19" s="7"/>
      <c r="W19" s="7"/>
      <c r="X19" s="7"/>
      <c r="Y19" s="7"/>
      <c r="Z19" s="7"/>
      <c r="AA19" s="3"/>
      <c r="AB19" s="3"/>
      <c r="AC19" s="3"/>
      <c r="AE19" s="5"/>
      <c r="AF19" s="5"/>
      <c r="AG19" s="5"/>
      <c r="AH19" s="5"/>
      <c r="AI19" s="5"/>
      <c r="AJ19" s="5"/>
      <c r="AK19" s="5"/>
      <c r="AL19" s="5"/>
      <c r="AM19" s="5"/>
      <c r="AN19" s="5"/>
      <c r="AO19" s="5"/>
      <c r="AP19" s="5"/>
      <c r="AQ19" s="5"/>
      <c r="AR19" s="5"/>
      <c r="AS19" s="5"/>
      <c r="BL19" s="42"/>
      <c r="BM19" s="42"/>
      <c r="BN19" s="42"/>
      <c r="BX19" s="42"/>
      <c r="BY19" s="42"/>
      <c r="BZ19" s="42"/>
    </row>
    <row r="20" spans="1:81" ht="27.75" customHeight="1" thickTop="1" x14ac:dyDescent="0.15">
      <c r="A20" s="26"/>
      <c r="B20" s="224" t="s">
        <v>101</v>
      </c>
      <c r="C20" s="225"/>
      <c r="D20" s="228" t="s">
        <v>21</v>
      </c>
      <c r="E20" s="229"/>
      <c r="F20" s="230" t="s">
        <v>31</v>
      </c>
      <c r="G20" s="231"/>
      <c r="H20" s="231"/>
      <c r="I20" s="231"/>
      <c r="J20" s="230" t="s">
        <v>40</v>
      </c>
      <c r="K20" s="231"/>
      <c r="L20" s="231"/>
      <c r="M20" s="231"/>
      <c r="N20" s="230" t="s">
        <v>32</v>
      </c>
      <c r="O20" s="231"/>
      <c r="P20" s="231"/>
      <c r="Q20" s="232"/>
      <c r="R20" s="233" t="s">
        <v>22</v>
      </c>
      <c r="S20" s="234"/>
      <c r="T20" s="234"/>
      <c r="U20" s="235"/>
      <c r="V20" s="218" t="s">
        <v>84</v>
      </c>
      <c r="W20" s="219"/>
      <c r="X20" s="219"/>
      <c r="Y20" s="220"/>
      <c r="Z20" s="12"/>
      <c r="AA20" s="12"/>
      <c r="AB20" s="12"/>
      <c r="AC20" s="12"/>
      <c r="AD20" s="12"/>
      <c r="AE20" s="12"/>
      <c r="AF20" s="12"/>
      <c r="AG20" s="12"/>
      <c r="AH20" s="12"/>
      <c r="AI20" s="12"/>
      <c r="AJ20" s="12"/>
      <c r="AK20" s="12"/>
      <c r="AL20" s="12"/>
      <c r="AM20" s="12"/>
      <c r="AN20" s="12"/>
      <c r="AO20" s="12"/>
      <c r="AP20" s="12"/>
      <c r="BG20" s="125" t="s">
        <v>83</v>
      </c>
      <c r="BH20" s="125"/>
      <c r="BI20" s="125"/>
      <c r="BJ20" s="125"/>
      <c r="BK20" s="125"/>
      <c r="BL20" s="125"/>
      <c r="BM20" s="125"/>
      <c r="BN20" s="125"/>
      <c r="BO20" s="125"/>
      <c r="BP20" s="125"/>
      <c r="BQ20" s="125"/>
      <c r="BR20" s="61"/>
      <c r="BS20" s="125" t="s">
        <v>83</v>
      </c>
      <c r="BT20" s="125"/>
      <c r="BU20" s="125"/>
      <c r="BV20" s="125"/>
      <c r="BW20" s="125"/>
      <c r="BX20" s="125"/>
      <c r="BY20" s="125"/>
      <c r="BZ20" s="125"/>
      <c r="CA20" s="125"/>
      <c r="CB20" s="125"/>
      <c r="CC20" s="125"/>
    </row>
    <row r="21" spans="1:81" ht="42.75" customHeight="1" x14ac:dyDescent="0.15">
      <c r="A21" s="26"/>
      <c r="B21" s="226"/>
      <c r="C21" s="227"/>
      <c r="D21" s="67" t="s">
        <v>110</v>
      </c>
      <c r="E21" s="64" t="s">
        <v>111</v>
      </c>
      <c r="F21" s="213" t="s">
        <v>106</v>
      </c>
      <c r="G21" s="213"/>
      <c r="H21" s="213"/>
      <c r="I21" s="213"/>
      <c r="J21" s="213" t="s">
        <v>106</v>
      </c>
      <c r="K21" s="213"/>
      <c r="L21" s="213"/>
      <c r="M21" s="213"/>
      <c r="N21" s="213" t="s">
        <v>107</v>
      </c>
      <c r="O21" s="213"/>
      <c r="P21" s="213"/>
      <c r="Q21" s="214"/>
      <c r="R21" s="215" t="s">
        <v>33</v>
      </c>
      <c r="S21" s="216"/>
      <c r="T21" s="216"/>
      <c r="U21" s="217"/>
      <c r="V21" s="221"/>
      <c r="W21" s="222"/>
      <c r="X21" s="222"/>
      <c r="Y21" s="223"/>
      <c r="Z21" s="12"/>
      <c r="AA21" s="12"/>
      <c r="AB21" s="12"/>
      <c r="AC21" s="12"/>
      <c r="AD21" s="12"/>
      <c r="AE21" s="12"/>
      <c r="AF21" s="12"/>
      <c r="AG21" s="12"/>
      <c r="AH21" s="12"/>
      <c r="AI21" s="12"/>
      <c r="AJ21" s="12"/>
      <c r="AK21" s="12"/>
      <c r="AL21" s="12"/>
      <c r="AM21" s="12"/>
      <c r="AN21" s="12"/>
      <c r="AO21" s="12"/>
      <c r="AP21" s="12"/>
      <c r="BN21" s="128">
        <f>V22</f>
        <v>0</v>
      </c>
      <c r="BO21" s="128"/>
      <c r="BP21" s="128"/>
      <c r="BQ21" s="128"/>
      <c r="BR21" s="45"/>
      <c r="BZ21" s="128">
        <f>BN21</f>
        <v>0</v>
      </c>
      <c r="CA21" s="128"/>
      <c r="CB21" s="128"/>
      <c r="CC21" s="128"/>
    </row>
    <row r="22" spans="1:81" ht="15" customHeight="1" x14ac:dyDescent="0.15">
      <c r="A22" s="26"/>
      <c r="B22" s="205"/>
      <c r="C22" s="206"/>
      <c r="D22" s="65"/>
      <c r="E22" s="65"/>
      <c r="F22" s="207"/>
      <c r="G22" s="208"/>
      <c r="H22" s="208"/>
      <c r="I22" s="208"/>
      <c r="J22" s="207"/>
      <c r="K22" s="208"/>
      <c r="L22" s="208"/>
      <c r="M22" s="208"/>
      <c r="N22" s="207"/>
      <c r="O22" s="208"/>
      <c r="P22" s="208"/>
      <c r="Q22" s="209"/>
      <c r="R22" s="210">
        <f>X40</f>
        <v>0</v>
      </c>
      <c r="S22" s="211"/>
      <c r="T22" s="211"/>
      <c r="U22" s="212"/>
      <c r="V22" s="207"/>
      <c r="W22" s="208"/>
      <c r="X22" s="208"/>
      <c r="Y22" s="209"/>
      <c r="Z22" s="12"/>
      <c r="AA22" s="60"/>
      <c r="AB22" s="60"/>
      <c r="AC22" s="60"/>
      <c r="AD22" s="12"/>
      <c r="AE22" s="12"/>
      <c r="AF22" s="12"/>
      <c r="AG22" s="12"/>
      <c r="AH22" s="12"/>
      <c r="AI22" s="12"/>
      <c r="AJ22" s="12"/>
      <c r="AK22" s="12"/>
      <c r="AL22" s="12"/>
      <c r="AM22" s="12"/>
      <c r="AN22" s="12"/>
      <c r="AO22" s="12"/>
      <c r="AP22" s="12"/>
      <c r="AV22" t="s">
        <v>85</v>
      </c>
    </row>
    <row r="23" spans="1:81" ht="15" customHeight="1" x14ac:dyDescent="0.15">
      <c r="A23" s="26"/>
      <c r="B23" s="205"/>
      <c r="C23" s="206"/>
      <c r="D23" s="65"/>
      <c r="E23" s="65"/>
      <c r="F23" s="207"/>
      <c r="G23" s="208"/>
      <c r="H23" s="208"/>
      <c r="I23" s="208"/>
      <c r="J23" s="207"/>
      <c r="K23" s="208"/>
      <c r="L23" s="208"/>
      <c r="M23" s="208"/>
      <c r="N23" s="207"/>
      <c r="O23" s="208"/>
      <c r="P23" s="208"/>
      <c r="Q23" s="209"/>
      <c r="R23" s="210">
        <f>X41</f>
        <v>0</v>
      </c>
      <c r="S23" s="211"/>
      <c r="T23" s="211"/>
      <c r="U23" s="212"/>
      <c r="V23" s="207"/>
      <c r="W23" s="208"/>
      <c r="X23" s="208"/>
      <c r="Y23" s="209"/>
      <c r="Z23" s="12"/>
      <c r="AA23" s="12"/>
      <c r="AB23" s="12"/>
      <c r="AC23" s="12"/>
      <c r="AD23" s="12"/>
      <c r="AE23" s="12"/>
      <c r="AF23" s="12"/>
      <c r="AG23" s="12"/>
      <c r="AH23" s="12"/>
      <c r="AI23" s="12"/>
      <c r="AJ23" s="12"/>
      <c r="AK23" s="12"/>
      <c r="AL23" s="12"/>
      <c r="AM23" s="12"/>
      <c r="AN23" s="12"/>
      <c r="AO23" s="12"/>
      <c r="AP23" s="12"/>
      <c r="AV23" s="125" t="s">
        <v>42</v>
      </c>
      <c r="AW23" s="125"/>
      <c r="AX23" s="125"/>
      <c r="AY23" s="125"/>
      <c r="AZ23" s="127">
        <f>AZ18</f>
        <v>0</v>
      </c>
      <c r="BA23" s="125"/>
      <c r="BB23" s="125"/>
      <c r="BD23" t="s">
        <v>87</v>
      </c>
    </row>
    <row r="24" spans="1:81" ht="15" customHeight="1" x14ac:dyDescent="0.15">
      <c r="A24" s="26"/>
      <c r="B24" s="205"/>
      <c r="C24" s="206"/>
      <c r="D24" s="65"/>
      <c r="E24" s="65"/>
      <c r="F24" s="207"/>
      <c r="G24" s="208"/>
      <c r="H24" s="208"/>
      <c r="I24" s="208"/>
      <c r="J24" s="207"/>
      <c r="K24" s="208"/>
      <c r="L24" s="208"/>
      <c r="M24" s="208"/>
      <c r="N24" s="207"/>
      <c r="O24" s="208"/>
      <c r="P24" s="208"/>
      <c r="Q24" s="209"/>
      <c r="R24" s="210">
        <f t="shared" ref="R24:R28" si="0">X42</f>
        <v>0</v>
      </c>
      <c r="S24" s="211"/>
      <c r="T24" s="211"/>
      <c r="U24" s="212"/>
      <c r="V24" s="207"/>
      <c r="W24" s="208"/>
      <c r="X24" s="208"/>
      <c r="Y24" s="209"/>
      <c r="Z24" s="12"/>
      <c r="AA24" s="12"/>
      <c r="AB24" s="12"/>
      <c r="AC24" s="12"/>
      <c r="AD24" s="12"/>
      <c r="AE24" s="12"/>
      <c r="AF24" s="12"/>
      <c r="AG24" s="12"/>
      <c r="AH24" s="12"/>
      <c r="AI24" s="12"/>
      <c r="AJ24" s="12"/>
      <c r="AK24" s="12"/>
      <c r="AL24" s="12"/>
      <c r="AM24" s="12"/>
      <c r="AN24" s="12"/>
      <c r="AO24" s="12"/>
      <c r="AP24" s="12"/>
      <c r="AV24" s="125" t="s">
        <v>48</v>
      </c>
      <c r="AW24" s="125"/>
      <c r="AX24" s="125"/>
      <c r="AY24" s="125"/>
      <c r="AZ24" s="126">
        <f>IF(BO18=1,BL18,IF(CA18=1,BX18,0))</f>
        <v>0</v>
      </c>
      <c r="BA24" s="126"/>
      <c r="BB24" s="126"/>
      <c r="BD24" t="s">
        <v>86</v>
      </c>
    </row>
    <row r="25" spans="1:81" ht="15" customHeight="1" x14ac:dyDescent="0.15">
      <c r="A25" s="26"/>
      <c r="B25" s="205"/>
      <c r="C25" s="206"/>
      <c r="D25" s="65"/>
      <c r="E25" s="65"/>
      <c r="F25" s="207"/>
      <c r="G25" s="208"/>
      <c r="H25" s="208"/>
      <c r="I25" s="208"/>
      <c r="J25" s="207"/>
      <c r="K25" s="208"/>
      <c r="L25" s="208"/>
      <c r="M25" s="208"/>
      <c r="N25" s="207"/>
      <c r="O25" s="208"/>
      <c r="P25" s="208"/>
      <c r="Q25" s="209"/>
      <c r="R25" s="210">
        <f t="shared" si="0"/>
        <v>0</v>
      </c>
      <c r="S25" s="211"/>
      <c r="T25" s="211"/>
      <c r="U25" s="212"/>
      <c r="V25" s="207"/>
      <c r="W25" s="208"/>
      <c r="X25" s="208"/>
      <c r="Y25" s="209"/>
      <c r="Z25" s="12"/>
      <c r="AA25" s="12"/>
      <c r="AB25" s="12"/>
      <c r="AC25" s="12"/>
      <c r="AD25" s="12"/>
      <c r="AE25" s="12"/>
      <c r="AF25" s="12"/>
      <c r="AG25" s="12"/>
      <c r="AH25" s="12"/>
      <c r="AI25" s="12"/>
      <c r="AJ25" s="12"/>
      <c r="AK25" s="12"/>
      <c r="AL25" s="12"/>
      <c r="AM25" s="12"/>
      <c r="AN25" s="12"/>
      <c r="AO25" s="12"/>
      <c r="AP25" s="12"/>
      <c r="AV25" s="125" t="s">
        <v>49</v>
      </c>
      <c r="AW25" s="125"/>
      <c r="AX25" s="125"/>
      <c r="AY25" s="125"/>
      <c r="AZ25" s="127">
        <f>SUM(AZ23:BB24)+IF((AND(AZ23&gt;0,AZ24&gt;0,(AZ23+AZ24)&gt;100000)),-100000,0)</f>
        <v>0</v>
      </c>
      <c r="BA25" s="125"/>
      <c r="BB25" s="125"/>
      <c r="BD25" t="s">
        <v>70</v>
      </c>
      <c r="BQ25" s="62"/>
      <c r="BR25" s="62"/>
      <c r="BS25" s="62"/>
      <c r="BT25" s="62"/>
      <c r="BU25" s="62"/>
    </row>
    <row r="26" spans="1:81" ht="15" customHeight="1" x14ac:dyDescent="0.15">
      <c r="A26" s="26"/>
      <c r="B26" s="205"/>
      <c r="C26" s="206"/>
      <c r="D26" s="65"/>
      <c r="E26" s="65"/>
      <c r="F26" s="207"/>
      <c r="G26" s="208"/>
      <c r="H26" s="208"/>
      <c r="I26" s="208"/>
      <c r="J26" s="207"/>
      <c r="K26" s="208"/>
      <c r="L26" s="208"/>
      <c r="M26" s="208"/>
      <c r="N26" s="207"/>
      <c r="O26" s="208"/>
      <c r="P26" s="208"/>
      <c r="Q26" s="209"/>
      <c r="R26" s="210">
        <f>X44</f>
        <v>0</v>
      </c>
      <c r="S26" s="211"/>
      <c r="T26" s="211"/>
      <c r="U26" s="212"/>
      <c r="V26" s="207"/>
      <c r="W26" s="208"/>
      <c r="X26" s="208"/>
      <c r="Y26" s="209"/>
      <c r="Z26" s="12"/>
      <c r="AA26" s="12"/>
      <c r="AB26" s="12"/>
      <c r="AC26" s="12"/>
      <c r="AD26" s="12"/>
      <c r="AE26" s="12"/>
      <c r="AF26" s="12"/>
      <c r="AG26" s="12"/>
      <c r="AH26" s="12"/>
      <c r="AI26" s="12"/>
      <c r="AJ26" s="12"/>
      <c r="AK26" s="12"/>
      <c r="AL26" s="12"/>
      <c r="AM26" s="12"/>
      <c r="AN26" s="12"/>
      <c r="AO26" s="12"/>
      <c r="AP26" s="12"/>
    </row>
    <row r="27" spans="1:81" ht="15" customHeight="1" x14ac:dyDescent="0.15">
      <c r="A27" s="26"/>
      <c r="B27" s="205"/>
      <c r="C27" s="206"/>
      <c r="D27" s="65"/>
      <c r="E27" s="65"/>
      <c r="F27" s="207"/>
      <c r="G27" s="208"/>
      <c r="H27" s="208"/>
      <c r="I27" s="208"/>
      <c r="J27" s="207"/>
      <c r="K27" s="208"/>
      <c r="L27" s="208"/>
      <c r="M27" s="208"/>
      <c r="N27" s="207"/>
      <c r="O27" s="208"/>
      <c r="P27" s="208"/>
      <c r="Q27" s="209"/>
      <c r="R27" s="210">
        <f t="shared" si="0"/>
        <v>0</v>
      </c>
      <c r="S27" s="211"/>
      <c r="T27" s="211"/>
      <c r="U27" s="212"/>
      <c r="V27" s="207"/>
      <c r="W27" s="208"/>
      <c r="X27" s="208"/>
      <c r="Y27" s="209"/>
      <c r="Z27" s="12"/>
      <c r="AA27" s="12"/>
      <c r="AB27" s="12"/>
      <c r="AC27" s="12"/>
      <c r="AD27" s="12"/>
      <c r="AE27" s="12"/>
      <c r="AF27" s="12"/>
      <c r="AG27" s="12"/>
      <c r="AH27" s="12"/>
      <c r="AI27" s="12"/>
      <c r="AJ27" s="12"/>
      <c r="AK27" s="12"/>
      <c r="AL27" s="12"/>
      <c r="AM27" s="12"/>
      <c r="AN27" s="12"/>
      <c r="AO27" s="12"/>
      <c r="AP27" s="12"/>
      <c r="AV27" s="125" t="s">
        <v>82</v>
      </c>
      <c r="AW27" s="125"/>
      <c r="AX27" s="125"/>
      <c r="AY27" s="125"/>
      <c r="AZ27" s="126">
        <f>MAX(IF(BO18=1,BL18,IF(CA18=1,BX18-150000,0)),0)</f>
        <v>0</v>
      </c>
      <c r="BA27" s="126"/>
      <c r="BB27" s="126"/>
    </row>
    <row r="28" spans="1:81" ht="15" customHeight="1" x14ac:dyDescent="0.15">
      <c r="A28" s="26"/>
      <c r="B28" s="205"/>
      <c r="C28" s="206"/>
      <c r="D28" s="65"/>
      <c r="E28" s="65"/>
      <c r="F28" s="207"/>
      <c r="G28" s="208"/>
      <c r="H28" s="208"/>
      <c r="I28" s="208"/>
      <c r="J28" s="207"/>
      <c r="K28" s="208"/>
      <c r="L28" s="208"/>
      <c r="M28" s="208"/>
      <c r="N28" s="207"/>
      <c r="O28" s="208"/>
      <c r="P28" s="208"/>
      <c r="Q28" s="209"/>
      <c r="R28" s="210">
        <f t="shared" si="0"/>
        <v>0</v>
      </c>
      <c r="S28" s="211"/>
      <c r="T28" s="211"/>
      <c r="U28" s="212"/>
      <c r="V28" s="207"/>
      <c r="W28" s="208"/>
      <c r="X28" s="208"/>
      <c r="Y28" s="209"/>
      <c r="Z28" s="13"/>
      <c r="AA28" s="13"/>
      <c r="AB28" s="13"/>
      <c r="AC28" s="13"/>
      <c r="AD28" s="13"/>
      <c r="AE28" s="13"/>
      <c r="AF28" s="13"/>
      <c r="AG28" s="13"/>
      <c r="AH28" s="13"/>
      <c r="AI28" s="13"/>
      <c r="AJ28" s="13"/>
      <c r="AK28" s="13"/>
      <c r="AL28" s="13"/>
      <c r="AM28" s="13"/>
      <c r="AN28" s="13"/>
      <c r="AO28" s="13"/>
      <c r="AP28" s="13"/>
    </row>
    <row r="29" spans="1:81" ht="15" customHeight="1" thickBot="1" x14ac:dyDescent="0.2">
      <c r="A29" s="26"/>
      <c r="B29" s="197"/>
      <c r="C29" s="198"/>
      <c r="D29" s="66"/>
      <c r="E29" s="66"/>
      <c r="F29" s="199"/>
      <c r="G29" s="200"/>
      <c r="H29" s="200"/>
      <c r="I29" s="200"/>
      <c r="J29" s="199"/>
      <c r="K29" s="200"/>
      <c r="L29" s="200"/>
      <c r="M29" s="200"/>
      <c r="N29" s="199"/>
      <c r="O29" s="200"/>
      <c r="P29" s="200"/>
      <c r="Q29" s="201"/>
      <c r="R29" s="202">
        <f>X47</f>
        <v>0</v>
      </c>
      <c r="S29" s="203"/>
      <c r="T29" s="203"/>
      <c r="U29" s="204"/>
      <c r="V29" s="199"/>
      <c r="W29" s="200"/>
      <c r="X29" s="200"/>
      <c r="Y29" s="201"/>
      <c r="Z29" s="13"/>
      <c r="AA29" s="13"/>
      <c r="AB29" s="13"/>
      <c r="AC29" s="13"/>
      <c r="AD29" s="13"/>
      <c r="AE29" s="13"/>
      <c r="AF29" s="13"/>
      <c r="AG29" s="13"/>
      <c r="AH29" s="13"/>
      <c r="AI29" s="13"/>
      <c r="AJ29" s="13"/>
      <c r="AK29" s="13"/>
      <c r="AL29" s="13"/>
      <c r="AM29" s="13"/>
      <c r="AN29" s="13"/>
      <c r="AO29" s="13"/>
      <c r="AP29" s="13"/>
    </row>
    <row r="30" spans="1:81" ht="26.25" customHeight="1" thickTop="1" x14ac:dyDescent="0.15">
      <c r="B30" s="9" t="s">
        <v>13</v>
      </c>
      <c r="C30" s="7"/>
      <c r="D30" s="7"/>
      <c r="E30" s="7"/>
      <c r="F30" s="7"/>
      <c r="G30" s="7"/>
      <c r="H30" s="7"/>
      <c r="I30" s="7"/>
      <c r="J30" s="7"/>
      <c r="K30" s="7"/>
      <c r="L30" s="7"/>
      <c r="M30" s="7"/>
      <c r="N30" s="7"/>
      <c r="O30" s="7"/>
      <c r="P30" s="7"/>
      <c r="Q30" s="7"/>
      <c r="R30" s="7"/>
      <c r="S30" s="7"/>
      <c r="T30" s="7"/>
      <c r="U30" s="7"/>
      <c r="V30" s="7"/>
      <c r="W30" s="7"/>
      <c r="X30" s="7"/>
      <c r="Y30" s="7"/>
      <c r="Z30" s="7"/>
      <c r="AA30" s="3"/>
      <c r="AB30" s="3"/>
      <c r="AC30" s="3"/>
    </row>
    <row r="31" spans="1:81" ht="34.5" customHeight="1" x14ac:dyDescent="0.15">
      <c r="A31" s="70"/>
      <c r="B31" s="11"/>
      <c r="C31" s="69"/>
      <c r="D31" s="69"/>
      <c r="E31" s="146" t="s">
        <v>20</v>
      </c>
      <c r="F31" s="147"/>
      <c r="G31" s="147"/>
      <c r="H31" s="145" t="s">
        <v>7</v>
      </c>
      <c r="I31" s="145"/>
      <c r="J31" s="145"/>
      <c r="K31" s="145" t="s">
        <v>28</v>
      </c>
      <c r="L31" s="145"/>
      <c r="M31" s="145"/>
      <c r="N31" s="145" t="s">
        <v>29</v>
      </c>
      <c r="O31" s="145"/>
      <c r="P31" s="145"/>
      <c r="Q31" s="145" t="s">
        <v>6</v>
      </c>
      <c r="R31" s="145"/>
      <c r="S31" s="145"/>
      <c r="T31" s="144" t="s">
        <v>71</v>
      </c>
      <c r="U31" s="145"/>
      <c r="V31" s="145"/>
      <c r="W31" s="144" t="s">
        <v>72</v>
      </c>
      <c r="X31" s="145"/>
      <c r="Y31" s="145"/>
      <c r="AA31" s="145" t="s">
        <v>73</v>
      </c>
      <c r="AB31" s="145"/>
      <c r="AC31" s="145"/>
      <c r="AD31" s="69"/>
      <c r="AE31" s="145" t="s">
        <v>74</v>
      </c>
      <c r="AF31" s="145"/>
      <c r="AG31" s="145"/>
      <c r="AH31" s="90"/>
      <c r="AJ31" s="55"/>
      <c r="AK31" s="55"/>
      <c r="AL31" s="55"/>
    </row>
    <row r="32" spans="1:81" ht="17.25" customHeight="1" x14ac:dyDescent="0.15">
      <c r="A32" s="70"/>
      <c r="B32" s="11"/>
      <c r="C32" s="69"/>
      <c r="D32" s="69" t="s">
        <v>1</v>
      </c>
      <c r="E32" s="138">
        <f>ROUNDDOWN(SUMPRODUCT($T$40:$T$47,$E$40:$E$47,$AC$40:$AC$47),0)</f>
        <v>0</v>
      </c>
      <c r="F32" s="138"/>
      <c r="G32" s="138"/>
      <c r="H32" s="138">
        <f>ROUNDDOWN(ROUNDDOWN(SUMPRODUCT($T$40:$T$47,$E$40:$E$47,$AC$40:$AC$47),0)*E3%,0)</f>
        <v>0</v>
      </c>
      <c r="I32" s="138"/>
      <c r="J32" s="138"/>
      <c r="K32" s="138" t="e">
        <f>K71+K79+K87+K95+K103+K111+K119+K127</f>
        <v>#VALUE!</v>
      </c>
      <c r="L32" s="138"/>
      <c r="M32" s="138"/>
      <c r="N32" s="138">
        <f>ROUNDDOWN(MAX(E40:E47)*M3/12,0)</f>
        <v>0</v>
      </c>
      <c r="O32" s="138"/>
      <c r="P32" s="138"/>
      <c r="Q32" s="138" t="str">
        <f>IF($AC$39=0,"軽減なし",$AC$39&amp;"割軽減")</f>
        <v>7割軽減</v>
      </c>
      <c r="R32" s="138"/>
      <c r="S32" s="138"/>
      <c r="T32" s="138" t="e">
        <f>T71+T79+T87+T95+T103+T111+T119+T127</f>
        <v>#VALUE!</v>
      </c>
      <c r="U32" s="138"/>
      <c r="V32" s="138"/>
      <c r="W32" s="138">
        <f>ROUNDUP(N32*$AE$39,0)</f>
        <v>0</v>
      </c>
      <c r="X32" s="138"/>
      <c r="Y32" s="138"/>
      <c r="Z32" s="68" t="s">
        <v>0</v>
      </c>
      <c r="AA32" s="138" t="e">
        <f>SUM(K32:P32,H32)-SUM(T32:Y32)</f>
        <v>#VALUE!</v>
      </c>
      <c r="AB32" s="138"/>
      <c r="AC32" s="138"/>
      <c r="AD32" s="68" t="s">
        <v>8</v>
      </c>
      <c r="AE32" s="138" t="e">
        <f>IF(AA32&gt;Q3/12*MAX(E40:F47),ROUNDDOWN(Q3/12*MAX(E40:F47),0),ROUNDDOWN(AA32,-2))</f>
        <v>#VALUE!</v>
      </c>
      <c r="AF32" s="138"/>
      <c r="AG32" s="138"/>
      <c r="AH32" s="88"/>
      <c r="AJ32" s="56"/>
      <c r="AK32" s="55"/>
      <c r="AL32" s="55"/>
    </row>
    <row r="33" spans="1:81" ht="17.25" customHeight="1" x14ac:dyDescent="0.15">
      <c r="A33" s="70"/>
      <c r="B33" s="11"/>
      <c r="C33" s="69"/>
      <c r="D33" s="69" t="s">
        <v>2</v>
      </c>
      <c r="E33" s="138">
        <f>ROUNDDOWN(SUMPRODUCT($T$40:$T$47,$E$40:$E$47,$AC$40:$AC$47),0)</f>
        <v>0</v>
      </c>
      <c r="F33" s="138"/>
      <c r="G33" s="138"/>
      <c r="H33" s="138">
        <f>ROUNDDOWN(ROUNDDOWN(SUMPRODUCT($T$40:$T$47,$E$40:$E$47,$AC$40:$AC$47),0)*E4%,0)</f>
        <v>0</v>
      </c>
      <c r="I33" s="138"/>
      <c r="J33" s="138"/>
      <c r="K33" s="138" t="e">
        <f>K72+K80+K88+K96+K104+K112+K120+K128</f>
        <v>#VALUE!</v>
      </c>
      <c r="L33" s="138"/>
      <c r="M33" s="138"/>
      <c r="N33" s="138">
        <f>ROUNDDOWN(MAX(E40:E47)*M4/12,0)</f>
        <v>0</v>
      </c>
      <c r="O33" s="138"/>
      <c r="P33" s="138"/>
      <c r="Q33" s="138" t="str">
        <f>IF($AC$39=0,"軽減なし",$AC$39&amp;"割軽減")</f>
        <v>7割軽減</v>
      </c>
      <c r="R33" s="138"/>
      <c r="S33" s="138"/>
      <c r="T33" s="138" t="e">
        <f>T72+T80+T88+T96+T104+T112+T120+T128</f>
        <v>#VALUE!</v>
      </c>
      <c r="U33" s="138"/>
      <c r="V33" s="138"/>
      <c r="W33" s="138">
        <f>ROUNDUP(N33*$AE$39,0)</f>
        <v>0</v>
      </c>
      <c r="X33" s="138"/>
      <c r="Y33" s="138"/>
      <c r="Z33" s="68" t="s">
        <v>0</v>
      </c>
      <c r="AA33" s="138" t="e">
        <f>SUM(K33:P33,H33)-SUM(T33:Y33)</f>
        <v>#VALUE!</v>
      </c>
      <c r="AB33" s="138"/>
      <c r="AC33" s="138"/>
      <c r="AD33" s="68" t="s">
        <v>8</v>
      </c>
      <c r="AE33" s="138" t="e">
        <f>IF(AA33&gt;Q4/12*MAX(E40:F47),ROUNDDOWN(Q4/12*MAX(E40:F47),0),ROUNDDOWN(AA33,-2))</f>
        <v>#VALUE!</v>
      </c>
      <c r="AF33" s="138"/>
      <c r="AG33" s="138"/>
      <c r="AH33" s="88"/>
      <c r="AJ33" s="56"/>
      <c r="AK33" s="55"/>
      <c r="AL33" s="55"/>
    </row>
    <row r="34" spans="1:81" ht="17.25" customHeight="1" x14ac:dyDescent="0.15">
      <c r="A34" s="70"/>
      <c r="B34" s="11"/>
      <c r="C34" s="69"/>
      <c r="D34" s="69" t="s">
        <v>3</v>
      </c>
      <c r="E34" s="138">
        <f>ROUNDDOWN(SUMPRODUCT($T$40:$T$47,$G$40:$G$47,$AC$40:$AC$47),0)</f>
        <v>0</v>
      </c>
      <c r="F34" s="138"/>
      <c r="G34" s="138"/>
      <c r="H34" s="138">
        <f>ROUNDDOWN(ROUNDDOWN(SUMPRODUCT($T$40:$T$47,$G$40:$G$47,$AC$40:$AC$47),0)*E5%,0)</f>
        <v>0</v>
      </c>
      <c r="I34" s="138"/>
      <c r="J34" s="138"/>
      <c r="K34" s="138" t="e">
        <f>K73+K81+K89+K97+K105+K113+K121+K129</f>
        <v>#VALUE!</v>
      </c>
      <c r="L34" s="138"/>
      <c r="M34" s="138"/>
      <c r="N34" s="138" t="e">
        <f>IF(K34=0,0,M5)</f>
        <v>#VALUE!</v>
      </c>
      <c r="O34" s="138"/>
      <c r="P34" s="138"/>
      <c r="Q34" s="138" t="str">
        <f>IF($AC$39=0,"軽減なし",$AC$39&amp;"割軽減")</f>
        <v>7割軽減</v>
      </c>
      <c r="R34" s="138"/>
      <c r="S34" s="138"/>
      <c r="T34" s="138" t="e">
        <f>T73+T81+T89+T97+T105+T113+T121+T129</f>
        <v>#VALUE!</v>
      </c>
      <c r="U34" s="138"/>
      <c r="V34" s="138"/>
      <c r="W34" s="138" t="e">
        <f>ROUNDUP(N34*$AE$39,0)</f>
        <v>#VALUE!</v>
      </c>
      <c r="X34" s="138"/>
      <c r="Y34" s="138"/>
      <c r="Z34" s="68" t="s">
        <v>0</v>
      </c>
      <c r="AA34" s="138" t="e">
        <f>SUM(K34:P34,H34)-SUM(T34:Y34)</f>
        <v>#VALUE!</v>
      </c>
      <c r="AB34" s="138"/>
      <c r="AC34" s="138"/>
      <c r="AD34" s="68" t="s">
        <v>8</v>
      </c>
      <c r="AE34" s="138" t="e">
        <f>IF(AA34&gt;Q5/12*MAX(G40:H47),ROUNDDOWN(Q5/12*MAX(G40:H47),0),ROUNDDOWN(AA34,-2))</f>
        <v>#VALUE!</v>
      </c>
      <c r="AF34" s="138"/>
      <c r="AG34" s="138"/>
      <c r="AH34" s="88"/>
      <c r="AJ34" s="56"/>
      <c r="AK34" s="55"/>
      <c r="AL34" s="55"/>
    </row>
    <row r="35" spans="1:81" ht="17.25" customHeight="1" thickBot="1" x14ac:dyDescent="0.2">
      <c r="A35" s="79"/>
      <c r="B35" s="11"/>
      <c r="C35" s="77"/>
      <c r="D35" s="77" t="s">
        <v>104</v>
      </c>
      <c r="E35" s="138">
        <f>ROUNDDOWN(SUMPRODUCT($T$40:$T$47,$E$40:$E$47,$AC$40:$AC$47),0)</f>
        <v>0</v>
      </c>
      <c r="F35" s="138"/>
      <c r="G35" s="138"/>
      <c r="H35" s="138">
        <f>ROUNDDOWN(ROUNDDOWN(SUMPRODUCT($T$40:$T$47,$E$40:$E$47,$AC$40:$AC$47),0)*E6%,0)</f>
        <v>0</v>
      </c>
      <c r="I35" s="138"/>
      <c r="J35" s="138"/>
      <c r="K35" s="138" t="e">
        <f>K74+K82+K90+K98+K106+K114+K122+K130</f>
        <v>#VALUE!</v>
      </c>
      <c r="L35" s="138"/>
      <c r="M35" s="138"/>
      <c r="N35" s="138" t="e">
        <f>IF(K35=0,0,M6)</f>
        <v>#VALUE!</v>
      </c>
      <c r="O35" s="138"/>
      <c r="P35" s="138"/>
      <c r="Q35" s="138" t="str">
        <f>IF($AC$39=0,"軽減なし",$AC$39&amp;"割軽減")</f>
        <v>7割軽減</v>
      </c>
      <c r="R35" s="138"/>
      <c r="S35" s="138"/>
      <c r="T35" s="138" t="e">
        <f>T74+T82+T90+T98+T106+T114+T122+T130</f>
        <v>#VALUE!</v>
      </c>
      <c r="U35" s="138"/>
      <c r="V35" s="138"/>
      <c r="W35" s="138" t="e">
        <f>ROUNDUP(N35*$AE$39,0)</f>
        <v>#VALUE!</v>
      </c>
      <c r="X35" s="138"/>
      <c r="Y35" s="138"/>
      <c r="Z35" s="78" t="s">
        <v>0</v>
      </c>
      <c r="AA35" s="138" t="e">
        <f>SUM(K35:P35,H35)-SUM(T35:Y35)</f>
        <v>#VALUE!</v>
      </c>
      <c r="AB35" s="138"/>
      <c r="AC35" s="138"/>
      <c r="AD35" s="78" t="s">
        <v>8</v>
      </c>
      <c r="AE35" s="138" t="e">
        <f>IF(AA35&gt;Q6/12*MAX(E40:F47),ROUNDDOWN(Q6/12*MAX(E40:F47),0),ROUNDDOWN(AA35,-2))</f>
        <v>#VALUE!</v>
      </c>
      <c r="AF35" s="138"/>
      <c r="AG35" s="138"/>
      <c r="AH35" s="88"/>
      <c r="AJ35" s="56"/>
      <c r="AK35" s="55"/>
      <c r="AL35" s="55"/>
    </row>
    <row r="36" spans="1:81" ht="31.5" customHeight="1" thickBot="1" x14ac:dyDescent="0.2">
      <c r="A36" s="70"/>
      <c r="B36" s="69"/>
      <c r="C36" s="69"/>
      <c r="D36" s="69"/>
      <c r="E36" s="69"/>
      <c r="F36" s="69"/>
      <c r="G36" s="69"/>
      <c r="H36" s="69"/>
      <c r="I36" s="69"/>
      <c r="J36" s="69"/>
      <c r="K36" s="69"/>
      <c r="L36" s="69"/>
      <c r="M36" s="69"/>
      <c r="N36" s="69"/>
      <c r="O36" s="6"/>
      <c r="P36" s="6"/>
      <c r="Q36" s="6"/>
      <c r="R36" s="6"/>
      <c r="S36" s="6"/>
      <c r="AA36" s="182" t="s">
        <v>23</v>
      </c>
      <c r="AB36" s="183"/>
      <c r="AC36" s="183"/>
      <c r="AD36" s="27"/>
      <c r="AE36" s="184" t="e">
        <f>SUM(AE32:AG35)</f>
        <v>#VALUE!</v>
      </c>
      <c r="AF36" s="185"/>
      <c r="AG36" s="186"/>
      <c r="AH36" s="116"/>
      <c r="AI36" s="117"/>
      <c r="AJ36" s="56"/>
      <c r="AK36" s="55"/>
      <c r="AL36" s="55"/>
      <c r="AM36" s="28"/>
      <c r="AN36" s="28"/>
      <c r="AO36" s="28"/>
      <c r="AQ36" s="56"/>
      <c r="AR36" s="55"/>
      <c r="AS36" s="55"/>
    </row>
    <row r="37" spans="1:81" ht="17.25" customHeight="1" x14ac:dyDescent="0.15">
      <c r="A37" s="70"/>
      <c r="B37" s="70"/>
      <c r="C37" s="70"/>
      <c r="D37" s="70"/>
      <c r="E37" s="70"/>
      <c r="F37" s="70"/>
      <c r="G37" s="70"/>
      <c r="AL37" s="8"/>
      <c r="AP37" s="6"/>
      <c r="AQ37" s="6"/>
      <c r="AR37" s="6"/>
      <c r="AU37" s="133" t="s">
        <v>36</v>
      </c>
      <c r="AV37" s="134"/>
      <c r="AW37" s="134"/>
      <c r="AX37" s="134"/>
      <c r="AY37" s="134"/>
      <c r="AZ37" s="134"/>
      <c r="BA37" s="134"/>
      <c r="BB37" s="134"/>
      <c r="BC37" s="134"/>
      <c r="BD37" s="134"/>
      <c r="BE37" s="135"/>
      <c r="BG37" s="46"/>
      <c r="BH37" s="133" t="s">
        <v>47</v>
      </c>
      <c r="BI37" s="134"/>
      <c r="BJ37" s="134"/>
      <c r="BK37" s="134"/>
      <c r="BL37" s="134"/>
      <c r="BM37" s="134"/>
      <c r="BN37" s="134"/>
      <c r="BO37" s="134"/>
      <c r="BP37" s="134"/>
      <c r="BQ37" s="135"/>
      <c r="BR37" s="61"/>
      <c r="BS37" s="46"/>
      <c r="BT37" s="133" t="s">
        <v>46</v>
      </c>
      <c r="BU37" s="134"/>
      <c r="BV37" s="134"/>
      <c r="BW37" s="134"/>
      <c r="BX37" s="134"/>
      <c r="BY37" s="134"/>
      <c r="BZ37" s="134"/>
      <c r="CA37" s="134"/>
      <c r="CB37" s="134"/>
      <c r="CC37" s="135"/>
    </row>
    <row r="38" spans="1:81" ht="2.25" hidden="1" customHeight="1" x14ac:dyDescent="0.15">
      <c r="A38" s="70"/>
      <c r="B38" s="70"/>
      <c r="C38" s="70"/>
      <c r="D38" s="70"/>
      <c r="E38" s="70"/>
      <c r="F38" s="70"/>
      <c r="G38" s="70"/>
      <c r="AB38" s="12"/>
      <c r="AC38" s="94"/>
      <c r="AD38" s="95"/>
      <c r="AE38" s="95"/>
      <c r="AF38" s="95"/>
      <c r="AG38" s="95"/>
      <c r="AH38" s="96"/>
      <c r="AI38" s="94"/>
      <c r="AJ38" s="95" t="s">
        <v>91</v>
      </c>
      <c r="AK38" s="95"/>
      <c r="AL38" s="95"/>
      <c r="AM38" s="95"/>
      <c r="AN38" s="96"/>
      <c r="AP38" s="6"/>
      <c r="AQ38" s="6"/>
      <c r="AR38" s="6"/>
      <c r="AU38" s="136"/>
      <c r="AV38" s="131" t="s">
        <v>38</v>
      </c>
      <c r="AW38" s="131"/>
      <c r="AX38" s="131"/>
      <c r="AY38" s="131"/>
      <c r="AZ38" s="131"/>
      <c r="BA38" s="131"/>
      <c r="BB38" s="131"/>
      <c r="BC38" s="131" t="s">
        <v>39</v>
      </c>
      <c r="BD38" s="131"/>
      <c r="BE38" s="131"/>
      <c r="BG38" s="136"/>
      <c r="BH38" s="131" t="s">
        <v>38</v>
      </c>
      <c r="BI38" s="131"/>
      <c r="BJ38" s="131"/>
      <c r="BK38" s="131"/>
      <c r="BL38" s="131"/>
      <c r="BM38" s="131"/>
      <c r="BN38" s="131"/>
      <c r="BO38" s="131" t="s">
        <v>39</v>
      </c>
      <c r="BP38" s="131"/>
      <c r="BQ38" s="131"/>
      <c r="BR38" s="43"/>
      <c r="BS38" s="136"/>
      <c r="BT38" s="131" t="s">
        <v>38</v>
      </c>
      <c r="BU38" s="131"/>
      <c r="BV38" s="131"/>
      <c r="BW38" s="131"/>
      <c r="BX38" s="131"/>
      <c r="BY38" s="131"/>
      <c r="BZ38" s="131"/>
      <c r="CA38" s="131" t="s">
        <v>39</v>
      </c>
      <c r="CB38" s="131"/>
      <c r="CC38" s="131"/>
    </row>
    <row r="39" spans="1:81" s="47" customFormat="1" ht="2.25" hidden="1" customHeight="1" x14ac:dyDescent="0.15">
      <c r="A39" s="37"/>
      <c r="B39" s="187" t="s">
        <v>19</v>
      </c>
      <c r="D39" s="53" t="s">
        <v>50</v>
      </c>
      <c r="E39" s="189" t="s">
        <v>11</v>
      </c>
      <c r="F39" s="190"/>
      <c r="G39" s="189" t="s">
        <v>12</v>
      </c>
      <c r="H39" s="190"/>
      <c r="I39" s="191" t="s">
        <v>16</v>
      </c>
      <c r="J39" s="192"/>
      <c r="K39" s="193" t="s">
        <v>67</v>
      </c>
      <c r="L39" s="190"/>
      <c r="M39" s="194" t="s">
        <v>66</v>
      </c>
      <c r="N39" s="195"/>
      <c r="O39" s="195"/>
      <c r="P39" s="196"/>
      <c r="Q39" s="251" t="s">
        <v>17</v>
      </c>
      <c r="R39" s="252"/>
      <c r="S39" s="253"/>
      <c r="T39" s="254" t="s">
        <v>68</v>
      </c>
      <c r="U39" s="255"/>
      <c r="V39" s="255"/>
      <c r="W39" s="256"/>
      <c r="X39" s="257" t="s">
        <v>69</v>
      </c>
      <c r="Y39" s="257"/>
      <c r="Z39" s="257"/>
      <c r="AB39" s="107"/>
      <c r="AC39" s="110">
        <f>IF(B41=1,0,IF(Q40&lt;=AG52,7,IF(Q40&lt;=AG53,5,IF(Q40&lt;=AG54,2,0))))</f>
        <v>7</v>
      </c>
      <c r="AD39" s="97">
        <f>AC39/10</f>
        <v>0.7</v>
      </c>
      <c r="AE39" s="97">
        <f>AD39</f>
        <v>0.7</v>
      </c>
      <c r="AF39" s="109"/>
      <c r="AG39" s="104"/>
      <c r="AH39" s="112"/>
      <c r="AI39" s="110">
        <f>IF(B41=1,0,IF(Q40&lt;=AG52,7,IF(Q40&lt;=AG53,5,IF(Q40&lt;=AG54,2,0))))</f>
        <v>7</v>
      </c>
      <c r="AJ39" s="97">
        <f>AI39/10</f>
        <v>0.7</v>
      </c>
      <c r="AK39" s="97">
        <f>AJ39</f>
        <v>0.7</v>
      </c>
      <c r="AL39" s="49"/>
      <c r="AM39" s="107"/>
      <c r="AN39" s="98"/>
      <c r="AU39" s="137"/>
      <c r="AV39" s="132"/>
      <c r="AW39" s="132"/>
      <c r="AX39" s="132"/>
      <c r="AY39" s="132"/>
      <c r="AZ39" s="132"/>
      <c r="BA39" s="132"/>
      <c r="BB39" s="132"/>
      <c r="BC39" s="132"/>
      <c r="BD39" s="132"/>
      <c r="BE39" s="132"/>
      <c r="BF39"/>
      <c r="BG39" s="137"/>
      <c r="BH39" s="132"/>
      <c r="BI39" s="132"/>
      <c r="BJ39" s="132"/>
      <c r="BK39" s="132"/>
      <c r="BL39" s="132"/>
      <c r="BM39" s="132"/>
      <c r="BN39" s="132"/>
      <c r="BO39" s="132"/>
      <c r="BP39" s="132"/>
      <c r="BQ39" s="132"/>
      <c r="BR39" s="69"/>
      <c r="BS39" s="137"/>
      <c r="BT39" s="132"/>
      <c r="BU39" s="132"/>
      <c r="BV39" s="132"/>
      <c r="BW39" s="132"/>
      <c r="BX39" s="132"/>
      <c r="BY39" s="132"/>
      <c r="BZ39" s="132"/>
      <c r="CA39" s="132"/>
      <c r="CB39" s="132"/>
      <c r="CC39" s="132"/>
    </row>
    <row r="40" spans="1:81" s="47" customFormat="1" ht="2.25" hidden="1" customHeight="1" x14ac:dyDescent="0.15">
      <c r="A40" s="37"/>
      <c r="B40" s="188"/>
      <c r="C40" s="58">
        <v>1</v>
      </c>
      <c r="D40" s="54" t="str">
        <f t="shared" ref="D40:D47" si="1">IF(B22="","",B22)</f>
        <v/>
      </c>
      <c r="E40" s="160" t="str">
        <f>IF(B22=$AO$41,0,IF(B22="","",12))</f>
        <v/>
      </c>
      <c r="F40" s="161"/>
      <c r="G40" s="160" t="str">
        <f>IF(B22=$AO$41,0,IF(B22="","",IF(AND(E22&gt;=40,E22&lt;65),12,0)))</f>
        <v/>
      </c>
      <c r="H40" s="161"/>
      <c r="I40" s="162" t="str">
        <f>IF(B22="","",1)</f>
        <v/>
      </c>
      <c r="J40" s="162"/>
      <c r="K40" s="160">
        <f>IF(F22&gt;550000,1,IF(AND(D22&lt;65,J22&gt;600000),1,IF(AND(D22&gt;=65,J22&gt;1250000),1,0)))</f>
        <v>0</v>
      </c>
      <c r="L40" s="161"/>
      <c r="M40" s="163">
        <f>AZ23+AZ27+N22</f>
        <v>0</v>
      </c>
      <c r="N40" s="164"/>
      <c r="O40" s="164"/>
      <c r="P40" s="165"/>
      <c r="Q40" s="173">
        <f>SUM(M40:M47)</f>
        <v>0</v>
      </c>
      <c r="R40" s="174"/>
      <c r="S40" s="175"/>
      <c r="T40" s="166">
        <f>IF(B22="擬主",0,IF(R22&lt;430000,0,R22-430000))</f>
        <v>0</v>
      </c>
      <c r="U40" s="167"/>
      <c r="V40" s="167"/>
      <c r="W40" s="168"/>
      <c r="X40" s="169">
        <f>AZ25+N22</f>
        <v>0</v>
      </c>
      <c r="Y40" s="170"/>
      <c r="Z40" s="171"/>
      <c r="AB40" s="107"/>
      <c r="AC40" s="108">
        <f>1/12</f>
        <v>8.3333333333333329E-2</v>
      </c>
      <c r="AD40" s="100">
        <f>$I$3</f>
        <v>21000</v>
      </c>
      <c r="AE40" s="100">
        <f>$I$4</f>
        <v>8100</v>
      </c>
      <c r="AF40" s="100">
        <f>$I$5</f>
        <v>9100</v>
      </c>
      <c r="AG40" s="105">
        <f>$I$6</f>
        <v>1082</v>
      </c>
      <c r="AH40" s="113">
        <v>1025</v>
      </c>
      <c r="AI40" s="108">
        <f>1/12</f>
        <v>8.3333333333333329E-2</v>
      </c>
      <c r="AJ40" s="100">
        <f>$I$3/2</f>
        <v>10500</v>
      </c>
      <c r="AK40" s="100">
        <f>$I$4/2</f>
        <v>4050</v>
      </c>
      <c r="AL40" s="100">
        <f>$I$5/2</f>
        <v>4550</v>
      </c>
      <c r="AM40" s="118">
        <f>$I$6/2</f>
        <v>541</v>
      </c>
      <c r="AN40" s="101">
        <f>AH40/2</f>
        <v>512.5</v>
      </c>
      <c r="AO40" s="47" t="s">
        <v>24</v>
      </c>
      <c r="AQ40" s="47" t="s">
        <v>89</v>
      </c>
      <c r="AU40" s="36">
        <f t="shared" ref="AU40:AU44" si="2">IF(AND($AZ$52&gt;=AV40,$AZ$52&lt;=AZ40),1,0)</f>
        <v>1</v>
      </c>
      <c r="AV40" s="129">
        <v>0</v>
      </c>
      <c r="AW40" s="129"/>
      <c r="AX40" s="129"/>
      <c r="AY40" s="71" t="s">
        <v>37</v>
      </c>
      <c r="AZ40" s="129">
        <v>650999</v>
      </c>
      <c r="BA40" s="129"/>
      <c r="BB40" s="129"/>
      <c r="BC40" s="130">
        <f>IF(AU40=1,0,0)</f>
        <v>0</v>
      </c>
      <c r="BD40" s="130"/>
      <c r="BE40" s="130"/>
      <c r="BF40"/>
      <c r="BG40" s="36">
        <f>IF(AND($BL$52&gt;=BH40,$BL$52&lt;=BL40,$BN$56&lt;=10000000),1,(IF(AND($BL$52&gt;=BH40,$BL$52&lt;=BL40,$BN$56&gt;10000000,$BN$56&lt;=20000000),2,(IF(AND($BL$52&gt;=BH40,$BL$52&lt;=BL40,$BN$56&gt;20000000),3,0)))))</f>
        <v>1</v>
      </c>
      <c r="BH40" s="148">
        <v>0</v>
      </c>
      <c r="BI40" s="149"/>
      <c r="BJ40" s="150"/>
      <c r="BK40" s="89" t="s">
        <v>37</v>
      </c>
      <c r="BL40" s="148">
        <v>1299999</v>
      </c>
      <c r="BM40" s="149"/>
      <c r="BN40" s="150"/>
      <c r="BO40" s="130">
        <f>MAX(IF(BG40=1,BL52-600000,IF(BG40=2,BL52-500000,IF(BG40=3,BL52-400000,0))),)</f>
        <v>0</v>
      </c>
      <c r="BP40" s="130"/>
      <c r="BQ40" s="130"/>
      <c r="BR40" s="44"/>
      <c r="BS40" s="36">
        <f>IF(AND($BX$52&gt;=BT40,$BX$52&lt;=BX40,$BZ$56&lt;=10000000),1,(IF(AND($BX$52&gt;=BT40,$BX$52&lt;=BX40,$BZ$56&gt;10000000,$BZ$56&lt;=20000000),2,(IF(AND($BX$52&gt;=BT40,$BX$52&lt;=BX40,$BZ$56&gt;20000000),3,0)))))</f>
        <v>1</v>
      </c>
      <c r="BT40" s="148">
        <v>0</v>
      </c>
      <c r="BU40" s="149"/>
      <c r="BV40" s="150"/>
      <c r="BW40" s="89" t="s">
        <v>37</v>
      </c>
      <c r="BX40" s="148">
        <v>3299999</v>
      </c>
      <c r="BY40" s="149"/>
      <c r="BZ40" s="150"/>
      <c r="CA40" s="130">
        <f>MAX(IF(BS40=1,BX52-1100000,IF(BS40=2,BX52-1000000,IF(BS40=3,BX52-900000,0))),)</f>
        <v>0</v>
      </c>
      <c r="CB40" s="130"/>
      <c r="CC40" s="130"/>
    </row>
    <row r="41" spans="1:81" s="47" customFormat="1" ht="2.25" hidden="1" customHeight="1" x14ac:dyDescent="0.15">
      <c r="A41" s="37"/>
      <c r="B41" s="172"/>
      <c r="C41" s="58">
        <v>2</v>
      </c>
      <c r="D41" s="54" t="str">
        <f t="shared" si="1"/>
        <v/>
      </c>
      <c r="E41" s="160" t="str">
        <f t="shared" ref="E41:E47" si="3">IF(B23="","",12)</f>
        <v/>
      </c>
      <c r="F41" s="161"/>
      <c r="G41" s="160" t="str">
        <f t="shared" ref="G41:G47" si="4">IF(B23="","",IF(AND(E23&gt;=40,E23&lt;65),12,0))</f>
        <v/>
      </c>
      <c r="H41" s="161"/>
      <c r="I41" s="162" t="str">
        <f t="shared" ref="I41:I47" si="5">IF(B23="","",1)</f>
        <v/>
      </c>
      <c r="J41" s="162"/>
      <c r="K41" s="160">
        <f>IF(F23&gt;550000,1,IF(AND(D23&lt;65,J23&gt;600000),1,IF(AND(D23&gt;=65,J23&gt;1250000),1,0)))</f>
        <v>0</v>
      </c>
      <c r="L41" s="161"/>
      <c r="M41" s="163">
        <f>AZ58+AZ62+N23</f>
        <v>0</v>
      </c>
      <c r="N41" s="164"/>
      <c r="O41" s="164"/>
      <c r="P41" s="165"/>
      <c r="Q41" s="176"/>
      <c r="R41" s="177"/>
      <c r="S41" s="178"/>
      <c r="T41" s="166">
        <f t="shared" ref="T41:T47" si="6">IF(B23="擬主",0,IF(R23&lt;430000,0,R23-430000))</f>
        <v>0</v>
      </c>
      <c r="U41" s="167"/>
      <c r="V41" s="167"/>
      <c r="W41" s="168"/>
      <c r="X41" s="169">
        <f>AZ60+N23</f>
        <v>0</v>
      </c>
      <c r="Y41" s="170"/>
      <c r="Z41" s="171"/>
      <c r="AB41" s="107"/>
      <c r="AC41" s="108">
        <f>1/12</f>
        <v>8.3333333333333329E-2</v>
      </c>
      <c r="AD41" s="100">
        <f>$I$3</f>
        <v>21000</v>
      </c>
      <c r="AE41" s="100">
        <f t="shared" ref="AE41:AE47" si="7">$I$4</f>
        <v>8100</v>
      </c>
      <c r="AF41" s="100">
        <f t="shared" ref="AF41:AF47" si="8">$I$5</f>
        <v>9100</v>
      </c>
      <c r="AG41" s="105">
        <f t="shared" ref="AG41:AG47" si="9">$I$6</f>
        <v>1082</v>
      </c>
      <c r="AH41" s="113">
        <v>1025</v>
      </c>
      <c r="AI41" s="108">
        <f>1/12</f>
        <v>8.3333333333333329E-2</v>
      </c>
      <c r="AJ41" s="100">
        <f t="shared" ref="AJ41:AJ47" si="10">$I$3/2</f>
        <v>10500</v>
      </c>
      <c r="AK41" s="100">
        <f t="shared" ref="AK41:AK47" si="11">$I$4/2</f>
        <v>4050</v>
      </c>
      <c r="AL41" s="100">
        <f t="shared" ref="AL41:AL47" si="12">$I$5/2</f>
        <v>4550</v>
      </c>
      <c r="AM41" s="118">
        <f t="shared" ref="AM41:AM47" si="13">$I$6/2</f>
        <v>541</v>
      </c>
      <c r="AN41" s="101">
        <f t="shared" ref="AN41:AN47" si="14">AH41/2</f>
        <v>512.5</v>
      </c>
      <c r="AO41" s="47" t="s">
        <v>18</v>
      </c>
      <c r="AU41" s="36">
        <f>IF(AND($AZ$52&gt;=AV41,$AZ$52&lt;=AZ41),1,0)</f>
        <v>0</v>
      </c>
      <c r="AV41" s="129">
        <v>651000</v>
      </c>
      <c r="AW41" s="129"/>
      <c r="AX41" s="129"/>
      <c r="AY41" s="71" t="s">
        <v>37</v>
      </c>
      <c r="AZ41" s="129">
        <v>1900000</v>
      </c>
      <c r="BA41" s="129"/>
      <c r="BB41" s="129"/>
      <c r="BC41" s="130">
        <f>IF(AU41=1,AZ52-650000,0)</f>
        <v>0</v>
      </c>
      <c r="BD41" s="130"/>
      <c r="BE41" s="130"/>
      <c r="BF41"/>
      <c r="BG41" s="36">
        <f t="shared" ref="BG41:BG43" si="15">IF(AND($BL$52&gt;=BH41,$BL$52&lt;=BL41,$BN$56&lt;=10000000),1,(IF(AND($BL$52&gt;=BH41,$BL$52&lt;=BL41,$BN$56&gt;10000000,$BN$56&lt;=20000000),2,(IF(AND($BL$52&gt;=BH41,$BL$52&lt;=BL41,$BN$56&gt;20000000),3,0)))))</f>
        <v>0</v>
      </c>
      <c r="BH41" s="148">
        <v>1300000</v>
      </c>
      <c r="BI41" s="149"/>
      <c r="BJ41" s="150"/>
      <c r="BK41" s="89" t="s">
        <v>37</v>
      </c>
      <c r="BL41" s="148">
        <v>4099999</v>
      </c>
      <c r="BM41" s="149"/>
      <c r="BN41" s="150"/>
      <c r="BO41" s="130">
        <f>IF(BG41=1,BL52*0.75-275000,IF(BG41=2,BL52*0.75-175000,IF(BG41=3,BL52*0.75-75000,0)))</f>
        <v>0</v>
      </c>
      <c r="BP41" s="130"/>
      <c r="BQ41" s="130"/>
      <c r="BR41" s="44"/>
      <c r="BS41" s="36">
        <f t="shared" ref="BS41:BS43" si="16">IF(AND($BX$52&gt;=BT41,$BX$52&lt;=BX41,$BZ$56&lt;=10000000),1,(IF(AND($BX$52&gt;=BT41,$BX$52&lt;=BX41,$BZ$56&gt;10000000,$BZ$56&lt;=20000000),2,(IF(AND($BX$52&gt;=BT41,$BX$52&lt;=BX41,$BZ$56&gt;20000000),3,0)))))</f>
        <v>0</v>
      </c>
      <c r="BT41" s="148">
        <v>3300000</v>
      </c>
      <c r="BU41" s="149"/>
      <c r="BV41" s="150"/>
      <c r="BW41" s="89" t="s">
        <v>37</v>
      </c>
      <c r="BX41" s="148">
        <v>4099999</v>
      </c>
      <c r="BY41" s="149"/>
      <c r="BZ41" s="150"/>
      <c r="CA41" s="130">
        <f>IF(BS41=1,BX52*0.75-275000,IF(BS41=2,BX52*0.75-175000,IF(BS41=3,BX52*0.75-75000,0)))</f>
        <v>0</v>
      </c>
      <c r="CB41" s="130"/>
      <c r="CC41" s="130"/>
    </row>
    <row r="42" spans="1:81" s="47" customFormat="1" ht="2.25" hidden="1" customHeight="1" x14ac:dyDescent="0.15">
      <c r="A42" s="37"/>
      <c r="B42" s="172"/>
      <c r="C42" s="59">
        <v>3</v>
      </c>
      <c r="D42" s="54" t="str">
        <f t="shared" si="1"/>
        <v/>
      </c>
      <c r="E42" s="160" t="str">
        <f t="shared" si="3"/>
        <v/>
      </c>
      <c r="F42" s="161"/>
      <c r="G42" s="160" t="str">
        <f t="shared" si="4"/>
        <v/>
      </c>
      <c r="H42" s="161"/>
      <c r="I42" s="162" t="str">
        <f t="shared" si="5"/>
        <v/>
      </c>
      <c r="J42" s="162"/>
      <c r="K42" s="160">
        <f>IF(F24&gt;550000,1,IF(AND(D24&lt;65,J24&gt;600000),1,IF(AND(D24&gt;=65,J24&gt;1250000),1,0)))</f>
        <v>0</v>
      </c>
      <c r="L42" s="161"/>
      <c r="M42" s="163">
        <f>AZ90+AZ94+N24</f>
        <v>0</v>
      </c>
      <c r="N42" s="164"/>
      <c r="O42" s="164"/>
      <c r="P42" s="165"/>
      <c r="Q42" s="176"/>
      <c r="R42" s="177"/>
      <c r="S42" s="178"/>
      <c r="T42" s="166">
        <f t="shared" si="6"/>
        <v>0</v>
      </c>
      <c r="U42" s="167"/>
      <c r="V42" s="167"/>
      <c r="W42" s="168"/>
      <c r="X42" s="169">
        <f>AZ92+N24</f>
        <v>0</v>
      </c>
      <c r="Y42" s="170"/>
      <c r="Z42" s="171"/>
      <c r="AA42" s="48"/>
      <c r="AB42" s="99"/>
      <c r="AC42" s="108">
        <f t="shared" ref="AC42:AC44" si="17">1/12</f>
        <v>8.3333333333333329E-2</v>
      </c>
      <c r="AD42" s="100">
        <f t="shared" ref="AD42:AD47" si="18">$I$3</f>
        <v>21000</v>
      </c>
      <c r="AE42" s="100">
        <f t="shared" si="7"/>
        <v>8100</v>
      </c>
      <c r="AF42" s="100">
        <f t="shared" si="8"/>
        <v>9100</v>
      </c>
      <c r="AG42" s="105">
        <f t="shared" si="9"/>
        <v>1082</v>
      </c>
      <c r="AH42" s="113">
        <v>1025</v>
      </c>
      <c r="AI42" s="108">
        <f t="shared" ref="AI42:AI44" si="19">1/12</f>
        <v>8.3333333333333329E-2</v>
      </c>
      <c r="AJ42" s="100">
        <f t="shared" si="10"/>
        <v>10500</v>
      </c>
      <c r="AK42" s="100">
        <f t="shared" si="11"/>
        <v>4050</v>
      </c>
      <c r="AL42" s="100">
        <f t="shared" si="12"/>
        <v>4550</v>
      </c>
      <c r="AM42" s="118">
        <f t="shared" si="13"/>
        <v>541</v>
      </c>
      <c r="AN42" s="101">
        <f t="shared" si="14"/>
        <v>512.5</v>
      </c>
      <c r="AU42" s="36">
        <f t="shared" si="2"/>
        <v>0</v>
      </c>
      <c r="AV42" s="129">
        <v>1900001</v>
      </c>
      <c r="AW42" s="129"/>
      <c r="AX42" s="129"/>
      <c r="AY42" s="93" t="s">
        <v>37</v>
      </c>
      <c r="AZ42" s="129">
        <v>3599999</v>
      </c>
      <c r="BA42" s="129"/>
      <c r="BB42" s="129"/>
      <c r="BC42" s="130">
        <f>IF(AU42=1,ROUNDDOWN(AZ52/4,-3)*2.8-80000,0)</f>
        <v>0</v>
      </c>
      <c r="BD42" s="130"/>
      <c r="BE42" s="130"/>
      <c r="BF42"/>
      <c r="BG42" s="36">
        <f t="shared" si="15"/>
        <v>0</v>
      </c>
      <c r="BH42" s="148">
        <v>4100000</v>
      </c>
      <c r="BI42" s="149"/>
      <c r="BJ42" s="150"/>
      <c r="BK42" s="89" t="s">
        <v>37</v>
      </c>
      <c r="BL42" s="148">
        <v>7699999</v>
      </c>
      <c r="BM42" s="149"/>
      <c r="BN42" s="150"/>
      <c r="BO42" s="130">
        <f>IF(BG42=1,BL52*0.85-685000,IF(BG42=2,BL52*0.85-585000,IF(BG42=3,BL52*0.85-485000,0)))</f>
        <v>0</v>
      </c>
      <c r="BP42" s="130"/>
      <c r="BQ42" s="130"/>
      <c r="BR42" s="44"/>
      <c r="BS42" s="36">
        <f t="shared" si="16"/>
        <v>0</v>
      </c>
      <c r="BT42" s="148">
        <v>4100000</v>
      </c>
      <c r="BU42" s="149"/>
      <c r="BV42" s="150"/>
      <c r="BW42" s="89" t="s">
        <v>37</v>
      </c>
      <c r="BX42" s="148">
        <v>7699999</v>
      </c>
      <c r="BY42" s="149"/>
      <c r="BZ42" s="150"/>
      <c r="CA42" s="130">
        <f>IF(BS42=1,BX52*0.85-685000,IF(BS42=2,BX52*0.85-585000,IF(BS42=3,BX52*0.85-485000,0)))</f>
        <v>0</v>
      </c>
      <c r="CB42" s="130"/>
      <c r="CC42" s="130"/>
    </row>
    <row r="43" spans="1:81" s="47" customFormat="1" ht="2.25" hidden="1" customHeight="1" x14ac:dyDescent="0.15">
      <c r="A43" s="37"/>
      <c r="B43" s="37"/>
      <c r="C43" s="59">
        <v>4</v>
      </c>
      <c r="D43" s="54" t="str">
        <f t="shared" si="1"/>
        <v/>
      </c>
      <c r="E43" s="160" t="str">
        <f t="shared" si="3"/>
        <v/>
      </c>
      <c r="F43" s="161"/>
      <c r="G43" s="160" t="str">
        <f t="shared" si="4"/>
        <v/>
      </c>
      <c r="H43" s="161"/>
      <c r="I43" s="162" t="str">
        <f t="shared" si="5"/>
        <v/>
      </c>
      <c r="J43" s="162"/>
      <c r="K43" s="160">
        <f>IF(F25&gt;550000,1,IF(AND(D25&lt;65,J25&gt;600000),1,IF(AND(D25&gt;=65,J25&gt;1250000),1,0)))</f>
        <v>0</v>
      </c>
      <c r="L43" s="161"/>
      <c r="M43" s="163">
        <f>AZ121+AZ125+N25</f>
        <v>0</v>
      </c>
      <c r="N43" s="164"/>
      <c r="O43" s="164"/>
      <c r="P43" s="165"/>
      <c r="Q43" s="176"/>
      <c r="R43" s="177"/>
      <c r="S43" s="178"/>
      <c r="T43" s="166">
        <f t="shared" si="6"/>
        <v>0</v>
      </c>
      <c r="U43" s="167"/>
      <c r="V43" s="167"/>
      <c r="W43" s="168"/>
      <c r="X43" s="169">
        <f>AZ123+N25</f>
        <v>0</v>
      </c>
      <c r="Y43" s="170"/>
      <c r="Z43" s="171"/>
      <c r="AA43" s="48"/>
      <c r="AB43" s="99"/>
      <c r="AC43" s="108">
        <f t="shared" si="17"/>
        <v>8.3333333333333329E-2</v>
      </c>
      <c r="AD43" s="100">
        <f t="shared" si="18"/>
        <v>21000</v>
      </c>
      <c r="AE43" s="100">
        <f t="shared" si="7"/>
        <v>8100</v>
      </c>
      <c r="AF43" s="100">
        <f t="shared" si="8"/>
        <v>9100</v>
      </c>
      <c r="AG43" s="105">
        <f t="shared" si="9"/>
        <v>1082</v>
      </c>
      <c r="AH43" s="113">
        <v>1025</v>
      </c>
      <c r="AI43" s="108">
        <f t="shared" si="19"/>
        <v>8.3333333333333329E-2</v>
      </c>
      <c r="AJ43" s="100">
        <f t="shared" si="10"/>
        <v>10500</v>
      </c>
      <c r="AK43" s="100">
        <f t="shared" si="11"/>
        <v>4050</v>
      </c>
      <c r="AL43" s="100">
        <f t="shared" si="12"/>
        <v>4550</v>
      </c>
      <c r="AM43" s="118">
        <f t="shared" si="13"/>
        <v>541</v>
      </c>
      <c r="AN43" s="101">
        <f t="shared" si="14"/>
        <v>512.5</v>
      </c>
      <c r="AU43" s="36">
        <f t="shared" si="2"/>
        <v>0</v>
      </c>
      <c r="AV43" s="129">
        <v>3600000</v>
      </c>
      <c r="AW43" s="129"/>
      <c r="AX43" s="129"/>
      <c r="AY43" s="93" t="s">
        <v>37</v>
      </c>
      <c r="AZ43" s="129">
        <v>6599999</v>
      </c>
      <c r="BA43" s="129"/>
      <c r="BB43" s="129"/>
      <c r="BC43" s="130">
        <f>IF(AU43=1,ROUNDDOWN(AZ52/4,-3)*3.2-440000,0)</f>
        <v>0</v>
      </c>
      <c r="BD43" s="130"/>
      <c r="BE43" s="130"/>
      <c r="BF43"/>
      <c r="BG43" s="36">
        <f t="shared" si="15"/>
        <v>0</v>
      </c>
      <c r="BH43" s="148">
        <v>7700000</v>
      </c>
      <c r="BI43" s="149"/>
      <c r="BJ43" s="150"/>
      <c r="BK43" s="89" t="s">
        <v>37</v>
      </c>
      <c r="BL43" s="148">
        <v>9999999</v>
      </c>
      <c r="BM43" s="149"/>
      <c r="BN43" s="150"/>
      <c r="BO43" s="130">
        <f>IF(BG43=1,BL52*0.95-1455000,IF(BG43=2,BL52*0.95-1355000,IF(BG43=3,BL52*0.95-1255000,0)))</f>
        <v>0</v>
      </c>
      <c r="BP43" s="130"/>
      <c r="BQ43" s="130"/>
      <c r="BR43" s="44"/>
      <c r="BS43" s="36">
        <f t="shared" si="16"/>
        <v>0</v>
      </c>
      <c r="BT43" s="148">
        <v>7700000</v>
      </c>
      <c r="BU43" s="149"/>
      <c r="BV43" s="150"/>
      <c r="BW43" s="89" t="s">
        <v>37</v>
      </c>
      <c r="BX43" s="148">
        <v>9999999</v>
      </c>
      <c r="BY43" s="149"/>
      <c r="BZ43" s="150"/>
      <c r="CA43" s="130">
        <f>IF(BS43=1,BX52*0.95-1455000,IF(BS43=2,BX52*0.95-1355000,IF(BS43=3,BX52*0.95-1255000,0)))</f>
        <v>0</v>
      </c>
      <c r="CB43" s="130"/>
      <c r="CC43" s="130"/>
    </row>
    <row r="44" spans="1:81" s="47" customFormat="1" ht="2.25" hidden="1" customHeight="1" x14ac:dyDescent="0.15">
      <c r="A44" s="37"/>
      <c r="B44" s="37"/>
      <c r="C44" s="59">
        <v>5</v>
      </c>
      <c r="D44" s="54" t="str">
        <f t="shared" si="1"/>
        <v/>
      </c>
      <c r="E44" s="160" t="str">
        <f t="shared" si="3"/>
        <v/>
      </c>
      <c r="F44" s="161"/>
      <c r="G44" s="160" t="str">
        <f t="shared" si="4"/>
        <v/>
      </c>
      <c r="H44" s="161"/>
      <c r="I44" s="162" t="str">
        <f t="shared" si="5"/>
        <v/>
      </c>
      <c r="J44" s="162"/>
      <c r="K44" s="160">
        <f>IF(F26&gt;550000,1,IF(AND(D26&lt;65,J26&gt;600000),1,IF(AND(D26&gt;=65,J26&gt;1250000),1,0)))</f>
        <v>0</v>
      </c>
      <c r="L44" s="161"/>
      <c r="M44" s="163">
        <f>AZ148+AZ152+N26</f>
        <v>0</v>
      </c>
      <c r="N44" s="164"/>
      <c r="O44" s="164"/>
      <c r="P44" s="165"/>
      <c r="Q44" s="176"/>
      <c r="R44" s="177"/>
      <c r="S44" s="178"/>
      <c r="T44" s="166">
        <f t="shared" si="6"/>
        <v>0</v>
      </c>
      <c r="U44" s="167"/>
      <c r="V44" s="167"/>
      <c r="W44" s="168"/>
      <c r="X44" s="169">
        <f>AZ150+N26</f>
        <v>0</v>
      </c>
      <c r="Y44" s="170"/>
      <c r="Z44" s="171"/>
      <c r="AA44" s="48"/>
      <c r="AB44" s="99"/>
      <c r="AC44" s="108">
        <f t="shared" si="17"/>
        <v>8.3333333333333329E-2</v>
      </c>
      <c r="AD44" s="100">
        <f t="shared" si="18"/>
        <v>21000</v>
      </c>
      <c r="AE44" s="100">
        <f t="shared" si="7"/>
        <v>8100</v>
      </c>
      <c r="AF44" s="100">
        <f t="shared" si="8"/>
        <v>9100</v>
      </c>
      <c r="AG44" s="105">
        <f t="shared" si="9"/>
        <v>1082</v>
      </c>
      <c r="AH44" s="113">
        <v>1025</v>
      </c>
      <c r="AI44" s="108">
        <f t="shared" si="19"/>
        <v>8.3333333333333329E-2</v>
      </c>
      <c r="AJ44" s="100">
        <f t="shared" si="10"/>
        <v>10500</v>
      </c>
      <c r="AK44" s="100">
        <f t="shared" si="11"/>
        <v>4050</v>
      </c>
      <c r="AL44" s="100">
        <f t="shared" si="12"/>
        <v>4550</v>
      </c>
      <c r="AM44" s="118">
        <f t="shared" si="13"/>
        <v>541</v>
      </c>
      <c r="AN44" s="101">
        <f t="shared" si="14"/>
        <v>512.5</v>
      </c>
      <c r="AU44" s="36">
        <f t="shared" si="2"/>
        <v>0</v>
      </c>
      <c r="AV44" s="129">
        <v>6600000</v>
      </c>
      <c r="AW44" s="129"/>
      <c r="AX44" s="129"/>
      <c r="AY44" s="93" t="s">
        <v>37</v>
      </c>
      <c r="AZ44" s="129">
        <v>8499999</v>
      </c>
      <c r="BA44" s="129"/>
      <c r="BB44" s="129"/>
      <c r="BC44" s="130">
        <f>IF(AU44=1,AZ52*0.9-1100000,0)</f>
        <v>0</v>
      </c>
      <c r="BD44" s="130"/>
      <c r="BE44" s="130"/>
      <c r="BF44"/>
      <c r="BG44" s="36">
        <f>IF(AND($BL$52&gt;=BH44,$BN$56&lt;=10000000),1,(IF(AND($BL$52&gt;=BH44,$BN$56&gt;10000000,$BN$56&lt;=20000000),2,(IF(AND($BL$52&gt;=BH44,$BN$56&gt;20000000),3,0)))))</f>
        <v>0</v>
      </c>
      <c r="BH44" s="148">
        <v>10000000</v>
      </c>
      <c r="BI44" s="149"/>
      <c r="BJ44" s="150"/>
      <c r="BK44" s="89" t="s">
        <v>37</v>
      </c>
      <c r="BL44" s="148"/>
      <c r="BM44" s="149"/>
      <c r="BN44" s="150"/>
      <c r="BO44" s="130">
        <f>IF(BG44=1,BL52-1955000,IF(BG44=2,BL52-1855000,IF(BG44=3,BL52-1755000,0)))</f>
        <v>0</v>
      </c>
      <c r="BP44" s="130"/>
      <c r="BQ44" s="130"/>
      <c r="BR44" s="44"/>
      <c r="BS44" s="36">
        <f>IF(AND($BX$52&gt;=BT44,$BZ$56&lt;=10000000),1,(IF(AND($BX$52&gt;=BT44,$BZ$56&gt;10000000,$BZ$56&lt;=20000000),2,(IF(AND($BX$52&gt;=BT44,$BZ$56&gt;20000000),3,0)))))</f>
        <v>0</v>
      </c>
      <c r="BT44" s="148">
        <v>10000000</v>
      </c>
      <c r="BU44" s="149"/>
      <c r="BV44" s="150"/>
      <c r="BW44" s="89" t="s">
        <v>37</v>
      </c>
      <c r="BX44" s="148"/>
      <c r="BY44" s="149"/>
      <c r="BZ44" s="150"/>
      <c r="CA44" s="130">
        <f>IF(BS44=1,BX52-1955000,IF(BS44=2,BX52-1855000,IF(BS44=3,BX52-1755000,0)))</f>
        <v>0</v>
      </c>
      <c r="CB44" s="130"/>
      <c r="CC44" s="130"/>
    </row>
    <row r="45" spans="1:81" s="47" customFormat="1" ht="2.25" hidden="1" customHeight="1" x14ac:dyDescent="0.15">
      <c r="A45" s="37"/>
      <c r="B45" s="37"/>
      <c r="C45" s="58">
        <v>6</v>
      </c>
      <c r="D45" s="54" t="str">
        <f t="shared" si="1"/>
        <v/>
      </c>
      <c r="E45" s="160" t="str">
        <f t="shared" si="3"/>
        <v/>
      </c>
      <c r="F45" s="161"/>
      <c r="G45" s="160" t="str">
        <f t="shared" si="4"/>
        <v/>
      </c>
      <c r="H45" s="161"/>
      <c r="I45" s="162" t="str">
        <f t="shared" si="5"/>
        <v/>
      </c>
      <c r="J45" s="162"/>
      <c r="K45" s="160">
        <f>IF(F27&gt;550000,1,IF(AND(D27&lt;65,J27&gt;600000),1,IF(AND(D27&gt;=65,J27&gt;1250000),1,0)))</f>
        <v>0</v>
      </c>
      <c r="L45" s="161"/>
      <c r="M45" s="163">
        <f>AZ175+AZ179+N27</f>
        <v>0</v>
      </c>
      <c r="N45" s="164"/>
      <c r="O45" s="164"/>
      <c r="P45" s="165"/>
      <c r="Q45" s="176"/>
      <c r="R45" s="177"/>
      <c r="S45" s="178"/>
      <c r="T45" s="166">
        <f t="shared" si="6"/>
        <v>0</v>
      </c>
      <c r="U45" s="167"/>
      <c r="V45" s="167"/>
      <c r="W45" s="168"/>
      <c r="X45" s="169">
        <f>AZ177+N27</f>
        <v>0</v>
      </c>
      <c r="Y45" s="170"/>
      <c r="Z45" s="171"/>
      <c r="AA45" s="48"/>
      <c r="AB45" s="99"/>
      <c r="AC45" s="108">
        <f>1/12</f>
        <v>8.3333333333333329E-2</v>
      </c>
      <c r="AD45" s="100">
        <f t="shared" si="18"/>
        <v>21000</v>
      </c>
      <c r="AE45" s="100">
        <f t="shared" si="7"/>
        <v>8100</v>
      </c>
      <c r="AF45" s="100">
        <f t="shared" si="8"/>
        <v>9100</v>
      </c>
      <c r="AG45" s="105">
        <f t="shared" si="9"/>
        <v>1082</v>
      </c>
      <c r="AH45" s="113">
        <v>1025</v>
      </c>
      <c r="AI45" s="108">
        <f>1/12</f>
        <v>8.3333333333333329E-2</v>
      </c>
      <c r="AJ45" s="100">
        <f t="shared" si="10"/>
        <v>10500</v>
      </c>
      <c r="AK45" s="100">
        <f t="shared" si="11"/>
        <v>4050</v>
      </c>
      <c r="AL45" s="100">
        <f t="shared" si="12"/>
        <v>4550</v>
      </c>
      <c r="AM45" s="118">
        <f t="shared" si="13"/>
        <v>541</v>
      </c>
      <c r="AN45" s="101">
        <f t="shared" si="14"/>
        <v>512.5</v>
      </c>
      <c r="AU45" s="36">
        <f>IF($AZ$52&gt;=AV45,1,0)</f>
        <v>0</v>
      </c>
      <c r="AV45" s="129">
        <v>8500000</v>
      </c>
      <c r="AW45" s="129"/>
      <c r="AX45" s="129"/>
      <c r="AY45" s="93" t="s">
        <v>37</v>
      </c>
      <c r="AZ45" s="129"/>
      <c r="BA45" s="129"/>
      <c r="BB45" s="129"/>
      <c r="BC45" s="130">
        <f>IF(AU45=1,AZ52-1950000,0)</f>
        <v>0</v>
      </c>
      <c r="BD45" s="130"/>
      <c r="BE45" s="130"/>
      <c r="BF45"/>
      <c r="BG45" s="36"/>
      <c r="BH45" s="148"/>
      <c r="BI45" s="149"/>
      <c r="BJ45" s="150"/>
      <c r="BK45" s="89" t="s">
        <v>37</v>
      </c>
      <c r="BL45" s="148"/>
      <c r="BM45" s="149"/>
      <c r="BN45" s="150"/>
      <c r="BO45" s="130"/>
      <c r="BP45" s="130"/>
      <c r="BQ45" s="130"/>
      <c r="BR45" s="44"/>
      <c r="BS45" s="36"/>
      <c r="BT45" s="148"/>
      <c r="BU45" s="149"/>
      <c r="BV45" s="150"/>
      <c r="BW45" s="89" t="s">
        <v>37</v>
      </c>
      <c r="BX45" s="148"/>
      <c r="BY45" s="149"/>
      <c r="BZ45" s="150"/>
      <c r="CA45" s="130"/>
      <c r="CB45" s="130"/>
      <c r="CC45" s="130"/>
    </row>
    <row r="46" spans="1:81" s="47" customFormat="1" ht="2.25" hidden="1" customHeight="1" x14ac:dyDescent="0.15">
      <c r="A46" s="37"/>
      <c r="B46" s="37"/>
      <c r="C46" s="58">
        <v>7</v>
      </c>
      <c r="D46" s="54" t="str">
        <f t="shared" si="1"/>
        <v/>
      </c>
      <c r="E46" s="160" t="str">
        <f t="shared" si="3"/>
        <v/>
      </c>
      <c r="F46" s="161"/>
      <c r="G46" s="160" t="str">
        <f t="shared" si="4"/>
        <v/>
      </c>
      <c r="H46" s="161"/>
      <c r="I46" s="162" t="str">
        <f t="shared" si="5"/>
        <v/>
      </c>
      <c r="J46" s="162"/>
      <c r="K46" s="160">
        <f>IF(F28&gt;550000,1,IF(AND(D28&lt;65,J28&gt;600000),1,IF(AND(D28&gt;=65,J28&gt;1250000),1,0)))</f>
        <v>0</v>
      </c>
      <c r="L46" s="161"/>
      <c r="M46" s="163">
        <f>AZ202+AZ206+N28</f>
        <v>0</v>
      </c>
      <c r="N46" s="164"/>
      <c r="O46" s="164"/>
      <c r="P46" s="165"/>
      <c r="Q46" s="176"/>
      <c r="R46" s="177"/>
      <c r="S46" s="178"/>
      <c r="T46" s="166">
        <f t="shared" si="6"/>
        <v>0</v>
      </c>
      <c r="U46" s="167"/>
      <c r="V46" s="167"/>
      <c r="W46" s="168"/>
      <c r="X46" s="169">
        <f>AZ204+N28</f>
        <v>0</v>
      </c>
      <c r="Y46" s="170"/>
      <c r="Z46" s="171"/>
      <c r="AB46" s="107"/>
      <c r="AC46" s="108">
        <f t="shared" ref="AC46:AC47" si="20">1/12</f>
        <v>8.3333333333333329E-2</v>
      </c>
      <c r="AD46" s="100">
        <f t="shared" si="18"/>
        <v>21000</v>
      </c>
      <c r="AE46" s="100">
        <f t="shared" si="7"/>
        <v>8100</v>
      </c>
      <c r="AF46" s="100">
        <f t="shared" si="8"/>
        <v>9100</v>
      </c>
      <c r="AG46" s="105">
        <f t="shared" si="9"/>
        <v>1082</v>
      </c>
      <c r="AH46" s="113">
        <v>1025</v>
      </c>
      <c r="AI46" s="108">
        <f t="shared" ref="AI46:AI47" si="21">1/12</f>
        <v>8.3333333333333329E-2</v>
      </c>
      <c r="AJ46" s="100">
        <f t="shared" si="10"/>
        <v>10500</v>
      </c>
      <c r="AK46" s="100">
        <f t="shared" si="11"/>
        <v>4050</v>
      </c>
      <c r="AL46" s="100">
        <f t="shared" si="12"/>
        <v>4550</v>
      </c>
      <c r="AM46" s="118">
        <f t="shared" si="13"/>
        <v>541</v>
      </c>
      <c r="AN46" s="101">
        <f t="shared" si="14"/>
        <v>512.5</v>
      </c>
      <c r="AU46" s="36"/>
      <c r="AV46" s="129"/>
      <c r="AW46" s="129"/>
      <c r="AX46" s="129"/>
      <c r="AY46" s="71" t="s">
        <v>37</v>
      </c>
      <c r="AZ46" s="129"/>
      <c r="BA46" s="129"/>
      <c r="BB46" s="129"/>
      <c r="BC46" s="130"/>
      <c r="BD46" s="130"/>
      <c r="BE46" s="130"/>
      <c r="BF46"/>
      <c r="BG46" s="36"/>
      <c r="BH46" s="148"/>
      <c r="BI46" s="149"/>
      <c r="BJ46" s="150"/>
      <c r="BK46" s="89" t="s">
        <v>37</v>
      </c>
      <c r="BL46" s="148"/>
      <c r="BM46" s="149"/>
      <c r="BN46" s="150"/>
      <c r="BO46" s="130"/>
      <c r="BP46" s="130"/>
      <c r="BQ46" s="130"/>
      <c r="BR46" s="44"/>
      <c r="BS46" s="36"/>
      <c r="BT46" s="148"/>
      <c r="BU46" s="149"/>
      <c r="BV46" s="150"/>
      <c r="BW46" s="89" t="s">
        <v>37</v>
      </c>
      <c r="BX46" s="148"/>
      <c r="BY46" s="149"/>
      <c r="BZ46" s="150"/>
      <c r="CA46" s="130"/>
      <c r="CB46" s="130"/>
      <c r="CC46" s="130"/>
    </row>
    <row r="47" spans="1:81" s="47" customFormat="1" ht="2.25" hidden="1" customHeight="1" x14ac:dyDescent="0.15">
      <c r="A47" s="37"/>
      <c r="B47" s="37"/>
      <c r="C47" s="58">
        <v>8</v>
      </c>
      <c r="D47" s="54" t="str">
        <f t="shared" si="1"/>
        <v/>
      </c>
      <c r="E47" s="160" t="str">
        <f t="shared" si="3"/>
        <v/>
      </c>
      <c r="F47" s="161"/>
      <c r="G47" s="160" t="str">
        <f t="shared" si="4"/>
        <v/>
      </c>
      <c r="H47" s="161"/>
      <c r="I47" s="162" t="str">
        <f t="shared" si="5"/>
        <v/>
      </c>
      <c r="J47" s="162"/>
      <c r="K47" s="160">
        <f>IF(F29&gt;550000,1,IF(AND(D29&lt;65,J29&gt;600000),1,IF(AND(D29&gt;=65,J29&gt;1250000),1,0)))</f>
        <v>0</v>
      </c>
      <c r="L47" s="161"/>
      <c r="M47" s="163">
        <f>AZ229+AZ233+N29</f>
        <v>0</v>
      </c>
      <c r="N47" s="164"/>
      <c r="O47" s="164"/>
      <c r="P47" s="165"/>
      <c r="Q47" s="179"/>
      <c r="R47" s="180"/>
      <c r="S47" s="181"/>
      <c r="T47" s="166">
        <f t="shared" si="6"/>
        <v>0</v>
      </c>
      <c r="U47" s="167"/>
      <c r="V47" s="167"/>
      <c r="W47" s="168"/>
      <c r="X47" s="169">
        <f>AZ231+N29</f>
        <v>0</v>
      </c>
      <c r="Y47" s="170"/>
      <c r="Z47" s="171"/>
      <c r="AB47" s="107"/>
      <c r="AC47" s="111">
        <f t="shared" si="20"/>
        <v>8.3333333333333329E-2</v>
      </c>
      <c r="AD47" s="102">
        <f t="shared" si="18"/>
        <v>21000</v>
      </c>
      <c r="AE47" s="102">
        <f t="shared" si="7"/>
        <v>8100</v>
      </c>
      <c r="AF47" s="102">
        <f t="shared" si="8"/>
        <v>9100</v>
      </c>
      <c r="AG47" s="106">
        <f t="shared" si="9"/>
        <v>1082</v>
      </c>
      <c r="AH47" s="114">
        <v>1025</v>
      </c>
      <c r="AI47" s="111">
        <f t="shared" si="21"/>
        <v>8.3333333333333329E-2</v>
      </c>
      <c r="AJ47" s="102">
        <f t="shared" si="10"/>
        <v>10500</v>
      </c>
      <c r="AK47" s="102">
        <f t="shared" si="11"/>
        <v>4050</v>
      </c>
      <c r="AL47" s="102">
        <f t="shared" si="12"/>
        <v>4550</v>
      </c>
      <c r="AM47" s="119">
        <f t="shared" si="13"/>
        <v>541</v>
      </c>
      <c r="AN47" s="103">
        <f t="shared" si="14"/>
        <v>512.5</v>
      </c>
      <c r="AU47" s="36"/>
      <c r="AV47" s="129"/>
      <c r="AW47" s="129"/>
      <c r="AX47" s="129"/>
      <c r="AY47" s="71" t="s">
        <v>37</v>
      </c>
      <c r="AZ47" s="129"/>
      <c r="BA47" s="129"/>
      <c r="BB47" s="129"/>
      <c r="BC47" s="130"/>
      <c r="BD47" s="130"/>
      <c r="BE47" s="130"/>
      <c r="BF47"/>
      <c r="BG47" s="36"/>
      <c r="BH47" s="148"/>
      <c r="BI47" s="149"/>
      <c r="BJ47" s="150"/>
      <c r="BK47" s="89" t="s">
        <v>37</v>
      </c>
      <c r="BL47" s="148"/>
      <c r="BM47" s="149"/>
      <c r="BN47" s="150"/>
      <c r="BO47" s="130"/>
      <c r="BP47" s="130"/>
      <c r="BQ47" s="130"/>
      <c r="BR47" s="44"/>
      <c r="BS47" s="36"/>
      <c r="BT47" s="148"/>
      <c r="BU47" s="149"/>
      <c r="BV47" s="150"/>
      <c r="BW47" s="89" t="s">
        <v>37</v>
      </c>
      <c r="BX47" s="148"/>
      <c r="BY47" s="149"/>
      <c r="BZ47" s="150"/>
      <c r="CA47" s="130"/>
      <c r="CB47" s="130"/>
      <c r="CC47" s="130"/>
    </row>
    <row r="48" spans="1:81" s="47" customFormat="1" ht="2.25" hidden="1" customHeight="1" x14ac:dyDescent="0.15">
      <c r="A48" s="37"/>
      <c r="B48" s="37"/>
      <c r="C48" s="37"/>
      <c r="D48" s="37"/>
      <c r="E48" s="246">
        <f>COUNT(IF(B22=AO41,E41:F47,E40:F47))</f>
        <v>0</v>
      </c>
      <c r="F48" s="246"/>
      <c r="G48" s="37"/>
      <c r="I48" s="158">
        <f>SUM(I40:J47)</f>
        <v>0</v>
      </c>
      <c r="J48" s="158"/>
      <c r="K48" s="247">
        <f>SUM(K40:L47)</f>
        <v>0</v>
      </c>
      <c r="L48" s="158"/>
      <c r="T48" s="248">
        <f>SUM(T40:W47)</f>
        <v>0</v>
      </c>
      <c r="U48" s="249"/>
      <c r="V48" s="249"/>
      <c r="W48" s="249"/>
      <c r="X48" s="157">
        <f>SUM(X40:Z47)</f>
        <v>0</v>
      </c>
      <c r="Y48" s="158"/>
      <c r="Z48" s="158"/>
      <c r="AU48" s="36"/>
      <c r="AV48" s="129"/>
      <c r="AW48" s="129"/>
      <c r="AX48" s="129"/>
      <c r="AY48" s="71" t="s">
        <v>37</v>
      </c>
      <c r="AZ48" s="129"/>
      <c r="BA48" s="129"/>
      <c r="BB48" s="129"/>
      <c r="BC48" s="130"/>
      <c r="BD48" s="130"/>
      <c r="BE48" s="130"/>
      <c r="BF48"/>
      <c r="BG48" s="36"/>
      <c r="BH48" s="148"/>
      <c r="BI48" s="149"/>
      <c r="BJ48" s="150"/>
      <c r="BK48" s="89" t="s">
        <v>37</v>
      </c>
      <c r="BL48" s="148"/>
      <c r="BM48" s="149"/>
      <c r="BN48" s="150"/>
      <c r="BO48" s="130"/>
      <c r="BP48" s="130"/>
      <c r="BQ48" s="130"/>
      <c r="BR48" s="44"/>
      <c r="BS48" s="36"/>
      <c r="BT48" s="148"/>
      <c r="BU48" s="149"/>
      <c r="BV48" s="150"/>
      <c r="BW48" s="89" t="s">
        <v>37</v>
      </c>
      <c r="BX48" s="148"/>
      <c r="BY48" s="149"/>
      <c r="BZ48" s="150"/>
      <c r="CA48" s="130"/>
      <c r="CB48" s="130"/>
      <c r="CC48" s="130"/>
    </row>
    <row r="49" spans="1:81" ht="2.25" hidden="1" customHeight="1" x14ac:dyDescent="0.15">
      <c r="A49" s="70"/>
      <c r="B49" s="70"/>
      <c r="C49" s="70"/>
      <c r="D49" s="70"/>
      <c r="E49" s="70"/>
      <c r="AU49" s="36"/>
      <c r="AV49" s="129"/>
      <c r="AW49" s="129"/>
      <c r="AX49" s="129"/>
      <c r="AY49" s="71" t="s">
        <v>37</v>
      </c>
      <c r="AZ49" s="129"/>
      <c r="BA49" s="129"/>
      <c r="BB49" s="129"/>
      <c r="BC49" s="130"/>
      <c r="BD49" s="130"/>
      <c r="BE49" s="130"/>
      <c r="BG49" s="36"/>
      <c r="BH49" s="148"/>
      <c r="BI49" s="149"/>
      <c r="BJ49" s="150"/>
      <c r="BK49" s="89" t="s">
        <v>37</v>
      </c>
      <c r="BL49" s="148"/>
      <c r="BM49" s="149"/>
      <c r="BN49" s="150"/>
      <c r="BO49" s="130"/>
      <c r="BP49" s="130"/>
      <c r="BQ49" s="130"/>
      <c r="BR49" s="44"/>
      <c r="BS49" s="36"/>
      <c r="BT49" s="148"/>
      <c r="BU49" s="149"/>
      <c r="BV49" s="150"/>
      <c r="BW49" s="89" t="s">
        <v>37</v>
      </c>
      <c r="BX49" s="148"/>
      <c r="BY49" s="149"/>
      <c r="BZ49" s="150"/>
      <c r="CA49" s="130"/>
      <c r="CB49" s="130"/>
      <c r="CC49" s="130"/>
    </row>
    <row r="50" spans="1:81" ht="2.25" hidden="1" customHeight="1" x14ac:dyDescent="0.15">
      <c r="A50" s="70"/>
      <c r="B50" s="70"/>
      <c r="C50" s="70"/>
      <c r="D50" s="35" t="s">
        <v>62</v>
      </c>
      <c r="E50" s="115">
        <f>K48</f>
        <v>0</v>
      </c>
      <c r="AU50" s="36"/>
      <c r="AV50" s="129"/>
      <c r="AW50" s="129"/>
      <c r="AX50" s="129"/>
      <c r="AY50" s="71" t="s">
        <v>37</v>
      </c>
      <c r="AZ50" s="129"/>
      <c r="BA50" s="129"/>
      <c r="BB50" s="129"/>
      <c r="BC50" s="130"/>
      <c r="BD50" s="130"/>
      <c r="BE50" s="130"/>
      <c r="BG50" s="36"/>
      <c r="BH50" s="148"/>
      <c r="BI50" s="149"/>
      <c r="BJ50" s="150"/>
      <c r="BK50" s="89" t="s">
        <v>37</v>
      </c>
      <c r="BL50" s="148"/>
      <c r="BM50" s="149"/>
      <c r="BN50" s="150"/>
      <c r="BO50" s="130"/>
      <c r="BP50" s="130"/>
      <c r="BQ50" s="130"/>
      <c r="BR50" s="44"/>
      <c r="BS50" s="36"/>
      <c r="BT50" s="148"/>
      <c r="BU50" s="149"/>
      <c r="BV50" s="150"/>
      <c r="BW50" s="89" t="s">
        <v>37</v>
      </c>
      <c r="BX50" s="148"/>
      <c r="BY50" s="149"/>
      <c r="BZ50" s="150"/>
      <c r="CA50" s="130"/>
      <c r="CB50" s="130"/>
      <c r="CC50" s="130"/>
    </row>
    <row r="51" spans="1:81" ht="2.25" hidden="1" customHeight="1" x14ac:dyDescent="0.15">
      <c r="A51" s="70"/>
      <c r="B51" s="70"/>
      <c r="C51" s="70"/>
      <c r="D51" s="70"/>
      <c r="E51" s="70"/>
      <c r="AF51" s="159" t="s">
        <v>66</v>
      </c>
      <c r="AG51" s="159"/>
      <c r="AH51" s="159"/>
      <c r="AI51" s="159"/>
      <c r="AJ51" s="159"/>
      <c r="AU51" s="70"/>
      <c r="AV51" s="41"/>
      <c r="AW51" s="41"/>
      <c r="AX51" s="41"/>
      <c r="AY51" s="70"/>
      <c r="AZ51" s="33"/>
      <c r="BA51" s="33"/>
      <c r="BB51" s="33"/>
      <c r="BC51" s="38"/>
      <c r="BD51" s="38"/>
      <c r="BE51" s="38"/>
      <c r="BG51" s="70"/>
      <c r="BH51" s="41"/>
      <c r="BI51" s="41"/>
      <c r="BJ51" s="41"/>
      <c r="BK51" s="70"/>
      <c r="BL51" s="33"/>
      <c r="BM51" s="33"/>
      <c r="BN51" s="33"/>
      <c r="BO51" s="38"/>
      <c r="BP51" s="38"/>
      <c r="BQ51" s="38"/>
      <c r="BR51" s="38"/>
      <c r="BS51" s="70"/>
      <c r="BT51" s="41"/>
      <c r="BU51" s="41"/>
      <c r="BV51" s="41"/>
      <c r="BW51" s="70"/>
      <c r="BX51" s="33"/>
      <c r="BY51" s="33"/>
      <c r="BZ51" s="33"/>
      <c r="CA51" s="38"/>
      <c r="CB51" s="38"/>
      <c r="CC51" s="38"/>
    </row>
    <row r="52" spans="1:81" ht="2.25" hidden="1" customHeight="1" x14ac:dyDescent="0.15">
      <c r="A52" s="70"/>
      <c r="B52" s="70"/>
      <c r="C52" s="70"/>
      <c r="D52" s="50" t="s">
        <v>51</v>
      </c>
      <c r="E52" s="70"/>
      <c r="F52" s="70"/>
      <c r="G52" s="70"/>
      <c r="H52" s="70"/>
      <c r="I52" s="70"/>
      <c r="J52" s="70"/>
      <c r="K52" s="70"/>
      <c r="L52" s="70"/>
      <c r="M52" s="70"/>
      <c r="N52" s="70"/>
      <c r="O52" s="70"/>
      <c r="P52" s="70"/>
      <c r="Q52" s="70"/>
      <c r="R52" s="70"/>
      <c r="S52" s="70"/>
      <c r="T52" s="70"/>
      <c r="U52" s="70"/>
      <c r="V52" s="70"/>
      <c r="W52" s="70"/>
      <c r="X52" s="70"/>
      <c r="Y52" s="70"/>
      <c r="Z52" s="70"/>
      <c r="AF52" s="36" t="s">
        <v>52</v>
      </c>
      <c r="AG52" s="130">
        <f>IF($E$50&gt;=2,AB63,R55)</f>
        <v>430000</v>
      </c>
      <c r="AH52" s="130"/>
      <c r="AI52" s="130"/>
      <c r="AJ52" s="130"/>
      <c r="AU52" s="70"/>
      <c r="AV52" s="120" t="s">
        <v>31</v>
      </c>
      <c r="AW52" s="120"/>
      <c r="AX52" s="120"/>
      <c r="AY52" s="120"/>
      <c r="AZ52" s="121">
        <f>F23</f>
        <v>0</v>
      </c>
      <c r="BA52" s="122"/>
      <c r="BB52" s="123"/>
      <c r="BC52" s="39"/>
      <c r="BD52" s="40"/>
      <c r="BE52" s="40"/>
      <c r="BG52" s="70"/>
      <c r="BH52" s="120" t="s">
        <v>43</v>
      </c>
      <c r="BI52" s="120"/>
      <c r="BJ52" s="120"/>
      <c r="BK52" s="120"/>
      <c r="BL52" s="124">
        <f>J23</f>
        <v>0</v>
      </c>
      <c r="BM52" s="124"/>
      <c r="BN52" s="124"/>
      <c r="BO52" s="39"/>
      <c r="BP52" s="40"/>
      <c r="BQ52" s="40"/>
      <c r="BR52" s="40"/>
      <c r="BS52" s="70"/>
      <c r="BT52" s="120" t="s">
        <v>43</v>
      </c>
      <c r="BU52" s="120"/>
      <c r="BV52" s="120"/>
      <c r="BW52" s="120"/>
      <c r="BX52" s="124">
        <f>BL52</f>
        <v>0</v>
      </c>
      <c r="BY52" s="124"/>
      <c r="BZ52" s="124"/>
      <c r="CA52" s="39"/>
      <c r="CB52" s="40"/>
      <c r="CC52" s="40"/>
    </row>
    <row r="53" spans="1:81" ht="2.25" hidden="1" customHeight="1" x14ac:dyDescent="0.15">
      <c r="A53" s="70"/>
      <c r="B53" s="70"/>
      <c r="C53" s="70"/>
      <c r="D53" s="153" t="s">
        <v>53</v>
      </c>
      <c r="E53" s="153" t="s">
        <v>56</v>
      </c>
      <c r="F53" s="153"/>
      <c r="G53" s="153"/>
      <c r="H53" s="153"/>
      <c r="I53" s="70"/>
      <c r="J53" s="153" t="s">
        <v>58</v>
      </c>
      <c r="K53" s="153"/>
      <c r="L53" s="153"/>
      <c r="M53" s="153"/>
      <c r="N53" s="153"/>
      <c r="O53" s="153"/>
      <c r="P53" s="153"/>
      <c r="Q53" s="70"/>
      <c r="R53" s="70"/>
      <c r="S53" s="70"/>
      <c r="T53" s="70"/>
      <c r="U53" s="70"/>
      <c r="V53" s="70"/>
      <c r="W53" s="70"/>
      <c r="X53" s="70"/>
      <c r="Y53" s="70"/>
      <c r="Z53" s="70"/>
      <c r="AF53" s="36" t="s">
        <v>54</v>
      </c>
      <c r="AG53" s="130">
        <f>IF($E$50&gt;=2,AB64,R56)</f>
        <v>430000</v>
      </c>
      <c r="AH53" s="130"/>
      <c r="AI53" s="130"/>
      <c r="AJ53" s="130"/>
      <c r="AV53" s="120" t="s">
        <v>42</v>
      </c>
      <c r="AW53" s="120"/>
      <c r="AX53" s="120"/>
      <c r="AY53" s="120"/>
      <c r="AZ53" s="127">
        <f>SUM(BC40:BE50)</f>
        <v>0</v>
      </c>
      <c r="BA53" s="125"/>
      <c r="BB53" s="125"/>
      <c r="BH53" s="120" t="s">
        <v>44</v>
      </c>
      <c r="BI53" s="120"/>
      <c r="BJ53" s="120"/>
      <c r="BK53" s="120"/>
      <c r="BL53" s="127">
        <f>SUM(BO40:BQ50)</f>
        <v>0</v>
      </c>
      <c r="BM53" s="125"/>
      <c r="BN53" s="125"/>
      <c r="BO53" s="57">
        <f>IF(D23&lt;65,1,0)</f>
        <v>1</v>
      </c>
      <c r="BT53" s="120" t="s">
        <v>44</v>
      </c>
      <c r="BU53" s="120"/>
      <c r="BV53" s="120"/>
      <c r="BW53" s="120"/>
      <c r="BX53" s="127">
        <f>SUM(CA40:CC50)</f>
        <v>0</v>
      </c>
      <c r="BY53" s="125"/>
      <c r="BZ53" s="125"/>
      <c r="CA53" s="57">
        <f>IF(D23&lt;65,0,1)</f>
        <v>0</v>
      </c>
    </row>
    <row r="54" spans="1:81" ht="2.25" hidden="1" customHeight="1" x14ac:dyDescent="0.15">
      <c r="A54" s="70"/>
      <c r="B54" s="70"/>
      <c r="C54" s="70"/>
      <c r="D54" s="153"/>
      <c r="E54" s="153"/>
      <c r="F54" s="153"/>
      <c r="G54" s="153"/>
      <c r="H54" s="153"/>
      <c r="I54" s="70"/>
      <c r="J54" s="70"/>
      <c r="K54" s="70"/>
      <c r="L54" s="70"/>
      <c r="M54" s="70"/>
      <c r="N54" s="153" t="s">
        <v>60</v>
      </c>
      <c r="O54" s="153"/>
      <c r="P54" s="153"/>
      <c r="Q54" s="70"/>
      <c r="R54" s="70"/>
      <c r="S54" s="70"/>
      <c r="T54" s="70"/>
      <c r="U54" s="70"/>
      <c r="V54" s="70"/>
      <c r="W54" s="70"/>
      <c r="X54" s="70"/>
      <c r="Y54" s="70"/>
      <c r="Z54" s="70"/>
      <c r="AF54" s="36" t="s">
        <v>55</v>
      </c>
      <c r="AG54" s="130">
        <f>IF($E$50&gt;=2,AB65,R57)</f>
        <v>430000</v>
      </c>
      <c r="AH54" s="130"/>
      <c r="AI54" s="130"/>
      <c r="AJ54" s="130"/>
      <c r="BL54" s="42"/>
      <c r="BM54" s="42"/>
      <c r="BN54" s="42"/>
      <c r="BX54" s="42"/>
      <c r="BY54" s="42"/>
      <c r="BZ54" s="42"/>
    </row>
    <row r="55" spans="1:81" ht="2.25" hidden="1" customHeight="1" x14ac:dyDescent="0.15">
      <c r="C55" s="70"/>
      <c r="D55" s="70" t="s">
        <v>52</v>
      </c>
      <c r="E55" s="151">
        <v>430000</v>
      </c>
      <c r="F55" s="151"/>
      <c r="G55" s="151"/>
      <c r="H55" s="151"/>
      <c r="I55" s="70"/>
      <c r="J55" s="70"/>
      <c r="K55" s="70"/>
      <c r="L55" s="70"/>
      <c r="M55" s="70"/>
      <c r="N55" s="70"/>
      <c r="O55" s="70"/>
      <c r="P55" s="70"/>
      <c r="Q55" s="70" t="s">
        <v>0</v>
      </c>
      <c r="R55" s="151">
        <f>E55</f>
        <v>430000</v>
      </c>
      <c r="S55" s="151"/>
      <c r="T55" s="151"/>
      <c r="U55" s="70"/>
      <c r="V55" s="70"/>
      <c r="W55" s="70"/>
      <c r="X55" s="70"/>
      <c r="Y55" s="70"/>
      <c r="Z55" s="70"/>
      <c r="BG55" s="125" t="s">
        <v>45</v>
      </c>
      <c r="BH55" s="125"/>
      <c r="BI55" s="125"/>
      <c r="BJ55" s="125"/>
      <c r="BK55" s="125"/>
      <c r="BL55" s="125"/>
      <c r="BM55" s="125"/>
      <c r="BN55" s="125"/>
      <c r="BO55" s="125"/>
      <c r="BP55" s="125"/>
      <c r="BQ55" s="125"/>
      <c r="BR55" s="61"/>
      <c r="BS55" s="125" t="s">
        <v>45</v>
      </c>
      <c r="BT55" s="125"/>
      <c r="BU55" s="125"/>
      <c r="BV55" s="125"/>
      <c r="BW55" s="125"/>
      <c r="BX55" s="125"/>
      <c r="BY55" s="125"/>
      <c r="BZ55" s="125"/>
      <c r="CA55" s="125"/>
      <c r="CB55" s="125"/>
      <c r="CC55" s="125"/>
    </row>
    <row r="56" spans="1:81" ht="2.25" hidden="1" customHeight="1" x14ac:dyDescent="0.15">
      <c r="C56" s="70"/>
      <c r="D56" s="70" t="s">
        <v>54</v>
      </c>
      <c r="E56" s="151">
        <f>E55</f>
        <v>430000</v>
      </c>
      <c r="F56" s="151"/>
      <c r="G56" s="151"/>
      <c r="H56" s="151"/>
      <c r="I56" s="70" t="s">
        <v>57</v>
      </c>
      <c r="J56" s="156">
        <v>310000</v>
      </c>
      <c r="K56" s="153"/>
      <c r="L56" s="153"/>
      <c r="M56" s="70" t="s">
        <v>59</v>
      </c>
      <c r="N56" s="33"/>
      <c r="O56" s="33">
        <f>I48-IF(B22="擬主",1,0)</f>
        <v>0</v>
      </c>
      <c r="P56" s="33"/>
      <c r="Q56" s="70" t="s">
        <v>0</v>
      </c>
      <c r="R56" s="151">
        <f>E56+J56*O56</f>
        <v>430000</v>
      </c>
      <c r="S56" s="151"/>
      <c r="T56" s="151"/>
      <c r="U56" s="70"/>
      <c r="V56" s="70"/>
      <c r="W56" s="70"/>
      <c r="X56" s="70"/>
      <c r="Y56" s="70"/>
      <c r="Z56" s="70"/>
      <c r="BN56" s="128">
        <f>V23</f>
        <v>0</v>
      </c>
      <c r="BO56" s="128"/>
      <c r="BP56" s="128"/>
      <c r="BQ56" s="128"/>
      <c r="BR56" s="45"/>
      <c r="BZ56" s="128">
        <f>BN56</f>
        <v>0</v>
      </c>
      <c r="CA56" s="128"/>
      <c r="CB56" s="128"/>
      <c r="CC56" s="128"/>
    </row>
    <row r="57" spans="1:81" ht="2.25" hidden="1" customHeight="1" x14ac:dyDescent="0.15">
      <c r="D57" s="70" t="s">
        <v>55</v>
      </c>
      <c r="E57" s="151">
        <f>E56</f>
        <v>430000</v>
      </c>
      <c r="F57" s="151"/>
      <c r="G57" s="151"/>
      <c r="H57" s="151"/>
      <c r="I57" s="32" t="s">
        <v>57</v>
      </c>
      <c r="J57" s="151">
        <v>570000</v>
      </c>
      <c r="K57" s="151"/>
      <c r="L57" s="151"/>
      <c r="M57" s="32" t="s">
        <v>59</v>
      </c>
      <c r="N57" s="33"/>
      <c r="O57" s="33">
        <f>O56</f>
        <v>0</v>
      </c>
      <c r="P57" s="33"/>
      <c r="Q57" s="70" t="s">
        <v>0</v>
      </c>
      <c r="R57" s="151">
        <f>E57+J57*O57</f>
        <v>430000</v>
      </c>
      <c r="S57" s="151"/>
      <c r="T57" s="151"/>
      <c r="AV57" t="s">
        <v>75</v>
      </c>
    </row>
    <row r="58" spans="1:81" ht="2.25" hidden="1" customHeight="1" x14ac:dyDescent="0.15">
      <c r="AV58" s="125" t="s">
        <v>42</v>
      </c>
      <c r="AW58" s="125"/>
      <c r="AX58" s="125"/>
      <c r="AY58" s="125"/>
      <c r="AZ58" s="127">
        <f>AZ53</f>
        <v>0</v>
      </c>
      <c r="BA58" s="125"/>
      <c r="BB58" s="125"/>
      <c r="BD58" t="s">
        <v>87</v>
      </c>
    </row>
    <row r="59" spans="1:81" ht="2.25" hidden="1" customHeight="1" x14ac:dyDescent="0.15">
      <c r="AV59" s="125" t="s">
        <v>48</v>
      </c>
      <c r="AW59" s="125"/>
      <c r="AX59" s="125"/>
      <c r="AY59" s="125"/>
      <c r="AZ59" s="126">
        <f>IF(BO53=1,BL53,IF(CA53=1,BX53,0))</f>
        <v>0</v>
      </c>
      <c r="BA59" s="126"/>
      <c r="BB59" s="126"/>
      <c r="BD59" t="s">
        <v>86</v>
      </c>
    </row>
    <row r="60" spans="1:81" ht="2.25" hidden="1" customHeight="1" x14ac:dyDescent="0.15">
      <c r="D60" s="50" t="s">
        <v>61</v>
      </c>
      <c r="E60" s="70"/>
      <c r="F60" s="70"/>
      <c r="G60" s="70"/>
      <c r="H60" s="70"/>
      <c r="I60" s="70"/>
      <c r="J60" s="70"/>
      <c r="K60" s="70"/>
      <c r="L60" s="70"/>
      <c r="M60" s="70"/>
      <c r="N60" s="70"/>
      <c r="O60" s="70"/>
      <c r="P60" s="70"/>
      <c r="AV60" s="125" t="s">
        <v>49</v>
      </c>
      <c r="AW60" s="125"/>
      <c r="AX60" s="125"/>
      <c r="AY60" s="125"/>
      <c r="AZ60" s="127">
        <f>SUM(AZ58:BB59)+IF((AND(AZ58&gt;0,AZ59&gt;0,(AZ58+AZ59)&gt;100000)),-100000,0)</f>
        <v>0</v>
      </c>
      <c r="BA60" s="125"/>
      <c r="BB60" s="125"/>
      <c r="BD60" t="s">
        <v>70</v>
      </c>
      <c r="BR60" s="62"/>
    </row>
    <row r="61" spans="1:81" ht="2.25" hidden="1" customHeight="1" x14ac:dyDescent="0.15">
      <c r="D61" s="153" t="s">
        <v>53</v>
      </c>
      <c r="E61" s="153" t="s">
        <v>56</v>
      </c>
      <c r="F61" s="153"/>
      <c r="G61" s="153"/>
      <c r="H61" s="153"/>
      <c r="I61" s="70"/>
      <c r="J61" s="153" t="s">
        <v>58</v>
      </c>
      <c r="K61" s="153"/>
      <c r="L61" s="153"/>
      <c r="M61" s="153"/>
      <c r="N61" s="153"/>
      <c r="O61" s="153"/>
      <c r="P61" s="153"/>
      <c r="AJ61" s="2">
        <f>SUMPRODUCT(AK61,AL61,AM61)</f>
        <v>8</v>
      </c>
      <c r="AK61" s="2">
        <v>2</v>
      </c>
      <c r="AL61" s="2">
        <v>2</v>
      </c>
      <c r="AM61" s="2">
        <v>2</v>
      </c>
    </row>
    <row r="62" spans="1:81" ht="2.25" hidden="1" customHeight="1" x14ac:dyDescent="0.15">
      <c r="D62" s="153"/>
      <c r="E62" s="153"/>
      <c r="F62" s="153"/>
      <c r="G62" s="153"/>
      <c r="H62" s="153"/>
      <c r="I62" s="70"/>
      <c r="J62" s="153" t="s">
        <v>62</v>
      </c>
      <c r="K62" s="153"/>
      <c r="L62" s="153"/>
      <c r="M62" s="153"/>
      <c r="N62" s="153"/>
      <c r="O62" s="70"/>
      <c r="P62" s="70"/>
      <c r="X62" s="153" t="s">
        <v>60</v>
      </c>
      <c r="Y62" s="153"/>
      <c r="Z62" s="153"/>
      <c r="AV62" s="125" t="s">
        <v>66</v>
      </c>
      <c r="AW62" s="125"/>
      <c r="AX62" s="125"/>
      <c r="AY62" s="125"/>
      <c r="AZ62" s="126">
        <f>MAX(IF(BO53=1,BL53,IF(CA53=1,BX53-150000,0)),0)</f>
        <v>0</v>
      </c>
      <c r="BA62" s="126"/>
      <c r="BB62" s="126"/>
    </row>
    <row r="63" spans="1:81" ht="2.25" hidden="1" customHeight="1" x14ac:dyDescent="0.15">
      <c r="D63" s="70" t="s">
        <v>52</v>
      </c>
      <c r="E63" s="151">
        <v>430000</v>
      </c>
      <c r="F63" s="151"/>
      <c r="G63" s="151"/>
      <c r="H63" s="151"/>
      <c r="I63" s="70" t="s">
        <v>57</v>
      </c>
      <c r="J63" s="70" t="s">
        <v>63</v>
      </c>
      <c r="K63" s="70">
        <f>$K$48</f>
        <v>0</v>
      </c>
      <c r="L63" s="70" t="s">
        <v>14</v>
      </c>
      <c r="M63" s="70">
        <v>1</v>
      </c>
      <c r="N63" s="50" t="s">
        <v>64</v>
      </c>
      <c r="O63" s="70" t="s">
        <v>59</v>
      </c>
      <c r="P63" s="151">
        <v>100000</v>
      </c>
      <c r="Q63" s="151"/>
      <c r="R63" s="151"/>
      <c r="S63" s="70"/>
      <c r="T63" s="51"/>
      <c r="U63" s="51"/>
      <c r="V63" s="51"/>
      <c r="AA63" s="32" t="s">
        <v>0</v>
      </c>
      <c r="AB63" s="152">
        <f>E63+(K63-1)*P63</f>
        <v>330000</v>
      </c>
      <c r="AC63" s="152"/>
      <c r="AD63" s="152"/>
    </row>
    <row r="64" spans="1:81" ht="2.25" hidden="1" customHeight="1" x14ac:dyDescent="0.15">
      <c r="D64" s="70" t="s">
        <v>54</v>
      </c>
      <c r="E64" s="151">
        <f>E63</f>
        <v>430000</v>
      </c>
      <c r="F64" s="151"/>
      <c r="G64" s="151"/>
      <c r="H64" s="151"/>
      <c r="I64" s="70" t="s">
        <v>57</v>
      </c>
      <c r="J64" s="70" t="s">
        <v>63</v>
      </c>
      <c r="K64" s="70">
        <f>$K$48</f>
        <v>0</v>
      </c>
      <c r="L64" s="70" t="s">
        <v>14</v>
      </c>
      <c r="M64" s="70">
        <v>1</v>
      </c>
      <c r="N64" s="52" t="s">
        <v>64</v>
      </c>
      <c r="O64" s="70" t="s">
        <v>59</v>
      </c>
      <c r="P64" s="151">
        <f>P63</f>
        <v>100000</v>
      </c>
      <c r="Q64" s="151"/>
      <c r="R64" s="151"/>
      <c r="S64" s="70" t="s">
        <v>65</v>
      </c>
      <c r="T64" s="152">
        <v>310000</v>
      </c>
      <c r="U64" s="152"/>
      <c r="V64" s="152"/>
      <c r="W64" s="2" t="s">
        <v>59</v>
      </c>
      <c r="Y64" s="2">
        <f>O56</f>
        <v>0</v>
      </c>
      <c r="AA64" s="32" t="s">
        <v>0</v>
      </c>
      <c r="AB64" s="152">
        <f>E64+(K64-1)*P64+T64*Y64</f>
        <v>330000</v>
      </c>
      <c r="AC64" s="152"/>
      <c r="AD64" s="152"/>
    </row>
    <row r="65" spans="2:81" ht="2.25" hidden="1" customHeight="1" x14ac:dyDescent="0.15">
      <c r="D65" s="70" t="s">
        <v>55</v>
      </c>
      <c r="E65" s="151">
        <f>E64</f>
        <v>430000</v>
      </c>
      <c r="F65" s="151"/>
      <c r="G65" s="151"/>
      <c r="H65" s="151"/>
      <c r="I65" s="32" t="s">
        <v>57</v>
      </c>
      <c r="J65" s="70" t="s">
        <v>63</v>
      </c>
      <c r="K65" s="70">
        <f>$K$48</f>
        <v>0</v>
      </c>
      <c r="L65" s="70" t="s">
        <v>14</v>
      </c>
      <c r="M65" s="70">
        <v>1</v>
      </c>
      <c r="N65" s="34" t="s">
        <v>64</v>
      </c>
      <c r="O65" s="70" t="s">
        <v>59</v>
      </c>
      <c r="P65" s="151">
        <f>P64</f>
        <v>100000</v>
      </c>
      <c r="Q65" s="151"/>
      <c r="R65" s="151"/>
      <c r="S65" s="70" t="s">
        <v>65</v>
      </c>
      <c r="T65" s="152">
        <v>570000</v>
      </c>
      <c r="U65" s="152"/>
      <c r="V65" s="152"/>
      <c r="W65" s="2" t="s">
        <v>59</v>
      </c>
      <c r="Y65" s="2">
        <f>O56</f>
        <v>0</v>
      </c>
      <c r="AA65" s="32" t="s">
        <v>0</v>
      </c>
      <c r="AB65" s="152">
        <f>E65+(K65-1)*P65+T65*Y65</f>
        <v>330000</v>
      </c>
      <c r="AC65" s="152"/>
      <c r="AD65" s="152"/>
      <c r="AU65" s="133" t="s">
        <v>36</v>
      </c>
      <c r="AV65" s="134"/>
      <c r="AW65" s="134"/>
      <c r="AX65" s="134"/>
      <c r="AY65" s="134"/>
      <c r="AZ65" s="134"/>
      <c r="BA65" s="134"/>
      <c r="BB65" s="134"/>
      <c r="BC65" s="134"/>
      <c r="BD65" s="134"/>
      <c r="BE65" s="135"/>
      <c r="BG65" s="46"/>
      <c r="BH65" s="133" t="s">
        <v>47</v>
      </c>
      <c r="BI65" s="134"/>
      <c r="BJ65" s="134"/>
      <c r="BK65" s="134"/>
      <c r="BL65" s="134"/>
      <c r="BM65" s="134"/>
      <c r="BN65" s="134"/>
      <c r="BO65" s="134"/>
      <c r="BP65" s="134"/>
      <c r="BQ65" s="135"/>
      <c r="BR65" s="61"/>
      <c r="BS65" s="46"/>
      <c r="BT65" s="133" t="s">
        <v>46</v>
      </c>
      <c r="BU65" s="134"/>
      <c r="BV65" s="134"/>
      <c r="BW65" s="134"/>
      <c r="BX65" s="134"/>
      <c r="BY65" s="134"/>
      <c r="BZ65" s="134"/>
      <c r="CA65" s="134"/>
      <c r="CB65" s="134"/>
      <c r="CC65" s="135"/>
    </row>
    <row r="66" spans="2:81" ht="2.25" hidden="1" customHeight="1" x14ac:dyDescent="0.15">
      <c r="AU66" s="136"/>
      <c r="AV66" s="131" t="s">
        <v>38</v>
      </c>
      <c r="AW66" s="131"/>
      <c r="AX66" s="131"/>
      <c r="AY66" s="131"/>
      <c r="AZ66" s="131"/>
      <c r="BA66" s="131"/>
      <c r="BB66" s="131"/>
      <c r="BC66" s="131" t="s">
        <v>39</v>
      </c>
      <c r="BD66" s="131"/>
      <c r="BE66" s="131"/>
      <c r="BG66" s="136"/>
      <c r="BH66" s="131" t="s">
        <v>38</v>
      </c>
      <c r="BI66" s="131"/>
      <c r="BJ66" s="131"/>
      <c r="BK66" s="131"/>
      <c r="BL66" s="131"/>
      <c r="BM66" s="131"/>
      <c r="BN66" s="131"/>
      <c r="BO66" s="131" t="s">
        <v>39</v>
      </c>
      <c r="BP66" s="131"/>
      <c r="BQ66" s="131"/>
      <c r="BR66" s="43"/>
      <c r="BS66" s="136"/>
      <c r="BT66" s="131" t="s">
        <v>38</v>
      </c>
      <c r="BU66" s="131"/>
      <c r="BV66" s="131"/>
      <c r="BW66" s="131"/>
      <c r="BX66" s="131"/>
      <c r="BY66" s="131"/>
      <c r="BZ66" s="131"/>
      <c r="CA66" s="131" t="s">
        <v>39</v>
      </c>
      <c r="CB66" s="131"/>
      <c r="CC66" s="131"/>
    </row>
    <row r="67" spans="2:81" ht="2.25" hidden="1" customHeight="1" x14ac:dyDescent="0.15">
      <c r="AU67" s="154"/>
      <c r="AV67" s="155"/>
      <c r="AW67" s="155"/>
      <c r="AX67" s="155"/>
      <c r="AY67" s="155"/>
      <c r="AZ67" s="155"/>
      <c r="BA67" s="155"/>
      <c r="BB67" s="155"/>
      <c r="BC67" s="155"/>
      <c r="BD67" s="155"/>
      <c r="BE67" s="155"/>
      <c r="BG67" s="154"/>
      <c r="BH67" s="155"/>
      <c r="BI67" s="155"/>
      <c r="BJ67" s="155"/>
      <c r="BK67" s="155"/>
      <c r="BL67" s="155"/>
      <c r="BM67" s="155"/>
      <c r="BN67" s="155"/>
      <c r="BO67" s="155"/>
      <c r="BP67" s="155"/>
      <c r="BQ67" s="155"/>
      <c r="BR67" s="77"/>
      <c r="BS67" s="154"/>
      <c r="BT67" s="155"/>
      <c r="BU67" s="155"/>
      <c r="BV67" s="155"/>
      <c r="BW67" s="155"/>
      <c r="BX67" s="155"/>
      <c r="BY67" s="155"/>
      <c r="BZ67" s="155"/>
      <c r="CA67" s="155"/>
      <c r="CB67" s="155"/>
      <c r="CC67" s="155"/>
    </row>
    <row r="68" spans="2:81" ht="2.25" hidden="1" customHeight="1" x14ac:dyDescent="0.15">
      <c r="B68" s="2" t="s">
        <v>90</v>
      </c>
      <c r="D68" s="70" t="s">
        <v>91</v>
      </c>
      <c r="E68" s="57">
        <f>IF($E$22&lt;6,1,IF($E$22&gt;=6,0,"ERROR"))</f>
        <v>1</v>
      </c>
      <c r="I68" s="57"/>
      <c r="AU68" s="137"/>
      <c r="AV68" s="132"/>
      <c r="AW68" s="132"/>
      <c r="AX68" s="132"/>
      <c r="AY68" s="132"/>
      <c r="AZ68" s="132"/>
      <c r="BA68" s="132"/>
      <c r="BB68" s="132"/>
      <c r="BC68" s="132"/>
      <c r="BD68" s="132"/>
      <c r="BE68" s="132"/>
      <c r="BG68" s="137"/>
      <c r="BH68" s="132"/>
      <c r="BI68" s="132"/>
      <c r="BJ68" s="132"/>
      <c r="BK68" s="132"/>
      <c r="BL68" s="132"/>
      <c r="BM68" s="132"/>
      <c r="BN68" s="132"/>
      <c r="BO68" s="132"/>
      <c r="BP68" s="132"/>
      <c r="BQ68" s="132"/>
      <c r="BR68" s="69"/>
      <c r="BS68" s="137"/>
      <c r="BT68" s="132"/>
      <c r="BU68" s="132"/>
      <c r="BV68" s="132"/>
      <c r="BW68" s="132"/>
      <c r="BX68" s="132"/>
      <c r="BY68" s="132"/>
      <c r="BZ68" s="132"/>
      <c r="CA68" s="132"/>
      <c r="CB68" s="132"/>
      <c r="CC68" s="132"/>
    </row>
    <row r="69" spans="2:81" ht="2.25" hidden="1" customHeight="1" x14ac:dyDescent="0.15">
      <c r="D69" s="79" t="s">
        <v>105</v>
      </c>
      <c r="E69" s="57">
        <f>IF($E$22&lt;18,1,IF($E$22&gt;=18,0,"ERROR"))</f>
        <v>1</v>
      </c>
      <c r="I69" s="57"/>
      <c r="AU69" s="36">
        <f t="shared" ref="AU69:AU73" si="22">IF(AND($AZ$82&gt;=AV69,$AZ$82&lt;=AZ69),1,0)</f>
        <v>1</v>
      </c>
      <c r="AV69" s="129">
        <v>0</v>
      </c>
      <c r="AW69" s="129"/>
      <c r="AX69" s="129"/>
      <c r="AY69" s="89" t="s">
        <v>37</v>
      </c>
      <c r="AZ69" s="129">
        <v>650999</v>
      </c>
      <c r="BA69" s="129"/>
      <c r="BB69" s="129"/>
      <c r="BC69" s="130">
        <f>IF(AU69=1,0,0)</f>
        <v>0</v>
      </c>
      <c r="BD69" s="130"/>
      <c r="BE69" s="130"/>
      <c r="BG69" s="36">
        <f>IF(AND($BL$82&gt;=BH69,$BL$82&lt;=BL69,$BN$86&lt;=10000000),1,(IF(AND($BL$82&gt;=BH69,$BL$82&lt;=BL69,$BN$86&gt;10000000,$BN$86&lt;=20000000),2,(IF(AND($BL$82&gt;=BH69,$BL$82&lt;=BL69,$BN$86&gt;20000000),3,0)))))</f>
        <v>1</v>
      </c>
      <c r="BH69" s="148">
        <v>0</v>
      </c>
      <c r="BI69" s="149"/>
      <c r="BJ69" s="150"/>
      <c r="BK69" s="89" t="s">
        <v>37</v>
      </c>
      <c r="BL69" s="148">
        <v>1299999</v>
      </c>
      <c r="BM69" s="149"/>
      <c r="BN69" s="150"/>
      <c r="BO69" s="130">
        <f>MAX(IF(BG69=1,BL82-600000,IF(BG69=2,BL82-500000,IF(BG69=3,BL82-400000,0))),)</f>
        <v>0</v>
      </c>
      <c r="BP69" s="130"/>
      <c r="BQ69" s="130"/>
      <c r="BR69" s="44"/>
      <c r="BS69" s="36">
        <f>IF(AND($BX$82&gt;=BT69,$BX$82&lt;=BX69,$BZ$86&lt;=10000000),1,(IF(AND($BX$82&gt;=BT69,$BX$82&lt;=BX69,$BZ$86&gt;10000000,$BZ$86&lt;=20000000),2,(IF(AND($BX$82&gt;=BT69,$BX$82&lt;=BX69,$BZ$86&gt;20000000),3,0)))))</f>
        <v>1</v>
      </c>
      <c r="BT69" s="148">
        <v>0</v>
      </c>
      <c r="BU69" s="149"/>
      <c r="BV69" s="150"/>
      <c r="BW69" s="89" t="s">
        <v>37</v>
      </c>
      <c r="BX69" s="148">
        <v>3299999</v>
      </c>
      <c r="BY69" s="149"/>
      <c r="BZ69" s="150"/>
      <c r="CA69" s="130">
        <f>MAX(IF(BS69=1,BX82-1100000,IF(BS69=2,BX82-1000000,IF(BS69=3,BX82-900000,0))),)</f>
        <v>0</v>
      </c>
      <c r="CB69" s="130"/>
      <c r="CC69" s="130"/>
    </row>
    <row r="70" spans="2:81" ht="2.25" hidden="1" customHeight="1" x14ac:dyDescent="0.15">
      <c r="D70" s="69"/>
      <c r="E70" s="146" t="s">
        <v>20</v>
      </c>
      <c r="F70" s="147"/>
      <c r="G70" s="147"/>
      <c r="H70" s="145" t="s">
        <v>7</v>
      </c>
      <c r="I70" s="145"/>
      <c r="J70" s="145"/>
      <c r="K70" s="145" t="s">
        <v>28</v>
      </c>
      <c r="L70" s="145"/>
      <c r="M70" s="145"/>
      <c r="N70" s="145" t="s">
        <v>29</v>
      </c>
      <c r="O70" s="145"/>
      <c r="P70" s="145"/>
      <c r="Q70" s="145" t="s">
        <v>6</v>
      </c>
      <c r="R70" s="145"/>
      <c r="S70" s="145"/>
      <c r="T70" s="144" t="s">
        <v>71</v>
      </c>
      <c r="U70" s="145"/>
      <c r="V70" s="145"/>
      <c r="W70" s="144" t="s">
        <v>72</v>
      </c>
      <c r="X70" s="145"/>
      <c r="Y70" s="145"/>
      <c r="AA70" s="145" t="s">
        <v>73</v>
      </c>
      <c r="AB70" s="145"/>
      <c r="AC70" s="145"/>
      <c r="AD70" s="69"/>
      <c r="AE70" s="145" t="s">
        <v>74</v>
      </c>
      <c r="AF70" s="145"/>
      <c r="AG70" s="145"/>
      <c r="AH70" s="90"/>
      <c r="AU70" s="36">
        <f t="shared" si="22"/>
        <v>0</v>
      </c>
      <c r="AV70" s="129">
        <v>651000</v>
      </c>
      <c r="AW70" s="129"/>
      <c r="AX70" s="129"/>
      <c r="AY70" s="89" t="s">
        <v>37</v>
      </c>
      <c r="AZ70" s="129">
        <v>1900000</v>
      </c>
      <c r="BA70" s="129"/>
      <c r="BB70" s="129"/>
      <c r="BC70" s="130">
        <f>IF(AU70=1,AZ82-650000,0)</f>
        <v>0</v>
      </c>
      <c r="BD70" s="130"/>
      <c r="BE70" s="130"/>
      <c r="BG70" s="36">
        <f>IF(AND($BL$82&gt;=BH70,$BL$82&lt;=BL70,$BN$86&lt;=10000000),1,(IF(AND($BL$82&gt;=BH70,$BL$82&lt;=BL70,$BN$86&gt;10000000,$BN$86&lt;=20000000),2,(IF(AND($BL$82&gt;=BH70,$BL$82&lt;=BL70,$BN$86&gt;20000000),3,0)))))</f>
        <v>0</v>
      </c>
      <c r="BH70" s="148">
        <v>1300000</v>
      </c>
      <c r="BI70" s="149"/>
      <c r="BJ70" s="150"/>
      <c r="BK70" s="89" t="s">
        <v>37</v>
      </c>
      <c r="BL70" s="148">
        <v>4099999</v>
      </c>
      <c r="BM70" s="149"/>
      <c r="BN70" s="150"/>
      <c r="BO70" s="130">
        <f>IF(BG70=1,BL82*0.75-275000,IF(BG70=2,BL82*0.75-175000,IF(BG70=3,BL82*0.75-75000,0)))</f>
        <v>0</v>
      </c>
      <c r="BP70" s="130"/>
      <c r="BQ70" s="130"/>
      <c r="BR70" s="44"/>
      <c r="BS70" s="36">
        <f>IF(AND($BX$82&gt;=BT70,$BX$82&lt;=BX70,$BZ$86&lt;=10000000),1,(IF(AND($BX$82&gt;=BT70,$BX$82&lt;=BX70,$BZ$86&gt;10000000,$BZ$86&lt;=20000000),2,(IF(AND($BX$82&gt;=BT70,$BX$82&lt;=BX70,$BZ$86&gt;20000000),3,0)))))</f>
        <v>0</v>
      </c>
      <c r="BT70" s="148">
        <v>3300000</v>
      </c>
      <c r="BU70" s="149"/>
      <c r="BV70" s="150"/>
      <c r="BW70" s="89" t="s">
        <v>37</v>
      </c>
      <c r="BX70" s="148">
        <v>4099999</v>
      </c>
      <c r="BY70" s="149"/>
      <c r="BZ70" s="150"/>
      <c r="CA70" s="130">
        <f>IF(BS70=1,BX82*0.75-275000,IF(BS70=2,BX82*0.75-175000,IF(BS70=3,BX82*0.75-75000,0)))</f>
        <v>0</v>
      </c>
      <c r="CB70" s="130"/>
      <c r="CC70" s="130"/>
    </row>
    <row r="71" spans="2:81" ht="2.25" hidden="1" customHeight="1" x14ac:dyDescent="0.15">
      <c r="D71" s="69" t="s">
        <v>1</v>
      </c>
      <c r="E71" s="138" t="e">
        <f>ROUNDDOWN(SUMPRODUCT($T$40,$E$40,$AC$40),0)</f>
        <v>#VALUE!</v>
      </c>
      <c r="F71" s="138"/>
      <c r="G71" s="138"/>
      <c r="H71" s="138" t="e">
        <f>ROUNDDOWN(ROUNDDOWN(SUMPRODUCT($T$40,$E$40,$AC$40),0)*$E$3%,0)</f>
        <v>#VALUE!</v>
      </c>
      <c r="I71" s="138"/>
      <c r="J71" s="138"/>
      <c r="K71" s="138" t="e">
        <f>IF($E$68=0,ROUNDDOWN(SUMPRODUCT($E$40,$AC$40,$AD$40),0),IF($E$68=1,ROUNDDOWN(SUMPRODUCT($E$40,$AI$40,$AJ$40),0),"ERROR"))</f>
        <v>#VALUE!</v>
      </c>
      <c r="L71" s="138"/>
      <c r="M71" s="138"/>
      <c r="N71" s="138" t="e">
        <f>IF(D40=$AO$41,0,ROUNDDOWN(MAX($E$40:$F$47)*$M$3/12,0)/$E$48)</f>
        <v>#DIV/0!</v>
      </c>
      <c r="O71" s="138"/>
      <c r="P71" s="138"/>
      <c r="Q71" s="138" t="str">
        <f>IF($AC$39=0,"軽減なし",$AC$39&amp;"割軽減")</f>
        <v>7割軽減</v>
      </c>
      <c r="R71" s="138"/>
      <c r="S71" s="138"/>
      <c r="T71" s="138" t="e">
        <f>ROUNDUP(K71*$AD$39,0)</f>
        <v>#VALUE!</v>
      </c>
      <c r="U71" s="138"/>
      <c r="V71" s="138"/>
      <c r="W71" s="138" t="e">
        <f>ROUNDUP(N71*$AE$39,0)</f>
        <v>#DIV/0!</v>
      </c>
      <c r="X71" s="138"/>
      <c r="Y71" s="138"/>
      <c r="Z71" s="68" t="s">
        <v>0</v>
      </c>
      <c r="AA71" s="138" t="e">
        <f>SUM(K71:P71,H71)-SUM(T71:Y71)</f>
        <v>#VALUE!</v>
      </c>
      <c r="AB71" s="138"/>
      <c r="AC71" s="138"/>
      <c r="AD71" s="68" t="s">
        <v>8</v>
      </c>
      <c r="AE71" s="138" t="e">
        <f>IF(AA71&gt;$Q$3/12*$E$40,ROUNDDOWN($Q$3/12*$E$40,0),ROUNDDOWN(AA71,-2))</f>
        <v>#VALUE!</v>
      </c>
      <c r="AF71" s="138"/>
      <c r="AG71" s="138"/>
      <c r="AH71" s="88"/>
      <c r="AU71" s="36">
        <f t="shared" si="22"/>
        <v>0</v>
      </c>
      <c r="AV71" s="129">
        <v>1900001</v>
      </c>
      <c r="AW71" s="129"/>
      <c r="AX71" s="129"/>
      <c r="AY71" s="93" t="s">
        <v>37</v>
      </c>
      <c r="AZ71" s="129">
        <v>3599999</v>
      </c>
      <c r="BA71" s="129"/>
      <c r="BB71" s="129"/>
      <c r="BC71" s="130">
        <f>IF(AU71=1,ROUNDDOWN(AZ82/4,-3)*2.8-80000,0)</f>
        <v>0</v>
      </c>
      <c r="BD71" s="130"/>
      <c r="BE71" s="130"/>
      <c r="BG71" s="36">
        <f>IF(AND($BL$82&gt;=BH71,$BL$82&lt;=BL71,$BN$86&lt;=10000000),1,(IF(AND($BL$82&gt;=BH71,$BL$82&lt;=BL71,$BN$86&gt;10000000,$BN$86&lt;=20000000),2,(IF(AND($BL$82&gt;=BH71,$BL$82&lt;=BL71,$BN$86&gt;20000000),3,0)))))</f>
        <v>0</v>
      </c>
      <c r="BH71" s="148">
        <v>4100000</v>
      </c>
      <c r="BI71" s="149"/>
      <c r="BJ71" s="150"/>
      <c r="BK71" s="89" t="s">
        <v>37</v>
      </c>
      <c r="BL71" s="148">
        <v>7699999</v>
      </c>
      <c r="BM71" s="149"/>
      <c r="BN71" s="150"/>
      <c r="BO71" s="130">
        <f>IF(BG71=1,BL82*0.85-685000,IF(BG71=2,BL82*0.85-585000,IF(BG71=3,BL82*0.85-485000,0)))</f>
        <v>0</v>
      </c>
      <c r="BP71" s="130"/>
      <c r="BQ71" s="130"/>
      <c r="BR71" s="44"/>
      <c r="BS71" s="36">
        <f>IF(AND($BX$82&gt;=BT71,$BX$82&lt;=BX71,$BZ$86&lt;=10000000),1,(IF(AND($BX$82&gt;=BT71,$BX$82&lt;=BX71,$BZ$86&gt;10000000,$BZ$86&lt;=20000000),2,(IF(AND($BX$82&gt;=BT71,$BX$82&lt;=BX71,$BZ$86&gt;20000000),3,0)))))</f>
        <v>0</v>
      </c>
      <c r="BT71" s="148">
        <v>4100000</v>
      </c>
      <c r="BU71" s="149"/>
      <c r="BV71" s="150"/>
      <c r="BW71" s="89" t="s">
        <v>37</v>
      </c>
      <c r="BX71" s="148">
        <v>7699999</v>
      </c>
      <c r="BY71" s="149"/>
      <c r="BZ71" s="150"/>
      <c r="CA71" s="130">
        <f>IF(BS71=1,BX82*0.85-685000,IF(BS71=2,BX82*0.85-585000,IF(BS71=3,BX82*0.85-485000,0)))</f>
        <v>0</v>
      </c>
      <c r="CB71" s="130"/>
      <c r="CC71" s="130"/>
    </row>
    <row r="72" spans="2:81" ht="2.25" hidden="1" customHeight="1" x14ac:dyDescent="0.15">
      <c r="D72" s="69" t="s">
        <v>2</v>
      </c>
      <c r="E72" s="138" t="e">
        <f>ROUNDDOWN(SUMPRODUCT($T$40,$E$40,$AC$40),0)</f>
        <v>#VALUE!</v>
      </c>
      <c r="F72" s="138"/>
      <c r="G72" s="138"/>
      <c r="H72" s="138" t="e">
        <f>ROUNDDOWN(ROUNDDOWN(SUMPRODUCT($T$40,$E$40,$AC$40),0)*$E$4%,0)</f>
        <v>#VALUE!</v>
      </c>
      <c r="I72" s="138"/>
      <c r="J72" s="138"/>
      <c r="K72" s="138" t="e">
        <f>IF($E$68=0,ROUNDDOWN(SUMPRODUCT($E$40,$AC$40,$AE$40),0),IF($E$68=1,ROUNDDOWN(SUMPRODUCT($E$40,$AI$40,$AK$40),0),"ERROR"))</f>
        <v>#VALUE!</v>
      </c>
      <c r="L72" s="138"/>
      <c r="M72" s="138"/>
      <c r="N72" s="138" t="e">
        <f>IF(D40=AO41,0,ROUNDDOWN(MAX($E$40:$F$47)*$M$4/12,0)/$E$48)</f>
        <v>#DIV/0!</v>
      </c>
      <c r="O72" s="138"/>
      <c r="P72" s="138"/>
      <c r="Q72" s="138" t="str">
        <f>IF($AC$39=0,"軽減なし",$AC$39&amp;"割軽減")</f>
        <v>7割軽減</v>
      </c>
      <c r="R72" s="138"/>
      <c r="S72" s="138"/>
      <c r="T72" s="138" t="e">
        <f>ROUNDUP(K72*$AD$39,0)</f>
        <v>#VALUE!</v>
      </c>
      <c r="U72" s="138"/>
      <c r="V72" s="138"/>
      <c r="W72" s="138" t="e">
        <f>ROUNDUP(N72*$AE$39,0)</f>
        <v>#DIV/0!</v>
      </c>
      <c r="X72" s="138"/>
      <c r="Y72" s="138"/>
      <c r="Z72" s="68" t="s">
        <v>0</v>
      </c>
      <c r="AA72" s="138" t="e">
        <f>SUM(K72:P72,H72)-SUM(T72:Y72)</f>
        <v>#VALUE!</v>
      </c>
      <c r="AB72" s="138"/>
      <c r="AC72" s="138"/>
      <c r="AD72" s="68" t="s">
        <v>8</v>
      </c>
      <c r="AE72" s="138" t="e">
        <f>IF(AA72&gt;$Q$4/12*$E$40,ROUNDDOWN($Q$4/12*$E$40,0),ROUNDDOWN(AA72,-2))</f>
        <v>#VALUE!</v>
      </c>
      <c r="AF72" s="138"/>
      <c r="AG72" s="138"/>
      <c r="AH72" s="88"/>
      <c r="AU72" s="36">
        <f t="shared" si="22"/>
        <v>0</v>
      </c>
      <c r="AV72" s="129">
        <v>3600000</v>
      </c>
      <c r="AW72" s="129"/>
      <c r="AX72" s="129"/>
      <c r="AY72" s="93" t="s">
        <v>37</v>
      </c>
      <c r="AZ72" s="129">
        <v>6599999</v>
      </c>
      <c r="BA72" s="129"/>
      <c r="BB72" s="129"/>
      <c r="BC72" s="130">
        <f>IF(AU72=1,ROUNDDOWN(AZ82/4,-3)*3.2-440000,0)</f>
        <v>0</v>
      </c>
      <c r="BD72" s="130"/>
      <c r="BE72" s="130"/>
      <c r="BG72" s="36">
        <f>IF(AND($BL$82&gt;=BH72,$BL$82&lt;=BL72,$BN$86&lt;=10000000),1,(IF(AND($BL$82&gt;=BH72,$BL$82&lt;=BL72,$BN$86&gt;10000000,$BN$86&lt;=20000000),2,(IF(AND($BL$82&gt;=BH72,$BL$82&lt;=BL72,$BN$86&gt;20000000),3,0)))))</f>
        <v>0</v>
      </c>
      <c r="BH72" s="148">
        <v>7700000</v>
      </c>
      <c r="BI72" s="149"/>
      <c r="BJ72" s="150"/>
      <c r="BK72" s="89" t="s">
        <v>37</v>
      </c>
      <c r="BL72" s="148">
        <v>9999999</v>
      </c>
      <c r="BM72" s="149"/>
      <c r="BN72" s="150"/>
      <c r="BO72" s="130">
        <f>IF(BG72=1,BL82*0.95-1455000,IF(BG72=2,BL82*0.95-1355000,IF(BG72=3,BL82*0.95-1255000,0)))</f>
        <v>0</v>
      </c>
      <c r="BP72" s="130"/>
      <c r="BQ72" s="130"/>
      <c r="BR72" s="44"/>
      <c r="BS72" s="36">
        <f>IF(AND($BX$82&gt;=BT72,$BX$82&lt;=BX72,$BZ$86&lt;=10000000),1,(IF(AND($BX$82&gt;=BT72,$BX$82&lt;=BX72,$BZ$86&gt;10000000,$BZ$86&lt;=20000000),2,(IF(AND($BX$82&gt;=BT72,$BX$82&lt;=BX72,$BZ$86&gt;20000000),3,0)))))</f>
        <v>0</v>
      </c>
      <c r="BT72" s="148">
        <v>7700000</v>
      </c>
      <c r="BU72" s="149"/>
      <c r="BV72" s="150"/>
      <c r="BW72" s="89" t="s">
        <v>37</v>
      </c>
      <c r="BX72" s="148">
        <v>9999999</v>
      </c>
      <c r="BY72" s="149"/>
      <c r="BZ72" s="150"/>
      <c r="CA72" s="130">
        <f>IF(BS72=1,BX82*0.95-1455000,IF(BS72=2,BX82*0.95-1355000,IF(BS72=3,BX82*0.95-1255000,0)))</f>
        <v>0</v>
      </c>
      <c r="CB72" s="130"/>
      <c r="CC72" s="130"/>
    </row>
    <row r="73" spans="2:81" ht="2.25" hidden="1" customHeight="1" x14ac:dyDescent="0.15">
      <c r="D73" s="69" t="s">
        <v>3</v>
      </c>
      <c r="E73" s="138" t="e">
        <f>ROUNDDOWN(SUMPRODUCT($T$40,$G$40,$AC$40),0)</f>
        <v>#VALUE!</v>
      </c>
      <c r="F73" s="138"/>
      <c r="G73" s="138"/>
      <c r="H73" s="138" t="e">
        <f>ROUNDDOWN(ROUNDDOWN(SUMPRODUCT($T$40,$G$40,$AC$40),0)*$E$5%,0)</f>
        <v>#VALUE!</v>
      </c>
      <c r="I73" s="138"/>
      <c r="J73" s="138"/>
      <c r="K73" s="138" t="e">
        <f>IF($E$68=0,ROUNDDOWN(SUMPRODUCT($G$40,$AC$40,$AF$40),0),IF($E$68=1,ROUNDDOWN(SUMPRODUCT($G$40,$AI$40,$AL$40),0),"ERROR"))</f>
        <v>#VALUE!</v>
      </c>
      <c r="L73" s="138"/>
      <c r="M73" s="138"/>
      <c r="N73" s="138" t="e">
        <f>IF(K73=0,0,$M$5)</f>
        <v>#VALUE!</v>
      </c>
      <c r="O73" s="138"/>
      <c r="P73" s="138"/>
      <c r="Q73" s="138" t="str">
        <f>IF($AC$39=0,"軽減なし",$AC$39&amp;"割軽減")</f>
        <v>7割軽減</v>
      </c>
      <c r="R73" s="138"/>
      <c r="S73" s="138"/>
      <c r="T73" s="138" t="e">
        <f>ROUNDUP(K73*$AD$39,0)</f>
        <v>#VALUE!</v>
      </c>
      <c r="U73" s="138"/>
      <c r="V73" s="138"/>
      <c r="W73" s="138" t="e">
        <f>ROUNDUP(N73*$AE$39,0)</f>
        <v>#VALUE!</v>
      </c>
      <c r="X73" s="138"/>
      <c r="Y73" s="138"/>
      <c r="Z73" s="68" t="s">
        <v>0</v>
      </c>
      <c r="AA73" s="138" t="e">
        <f>SUM(K73:P73,H73)-SUM(T73:Y73)</f>
        <v>#VALUE!</v>
      </c>
      <c r="AB73" s="138"/>
      <c r="AC73" s="138"/>
      <c r="AD73" s="68" t="s">
        <v>8</v>
      </c>
      <c r="AE73" s="138" t="e">
        <f>IF(AA73&gt;$Q$5/12*$G$40,ROUNDDOWN($Q$5/12*$G$40,0),ROUNDDOWN(AA73,-2))</f>
        <v>#VALUE!</v>
      </c>
      <c r="AF73" s="138"/>
      <c r="AG73" s="138"/>
      <c r="AH73" s="88"/>
      <c r="AU73" s="36">
        <f t="shared" si="22"/>
        <v>0</v>
      </c>
      <c r="AV73" s="129">
        <v>6600000</v>
      </c>
      <c r="AW73" s="129"/>
      <c r="AX73" s="129"/>
      <c r="AY73" s="93" t="s">
        <v>37</v>
      </c>
      <c r="AZ73" s="129">
        <v>8499999</v>
      </c>
      <c r="BA73" s="129"/>
      <c r="BB73" s="129"/>
      <c r="BC73" s="130">
        <f>IF(AU73=1,AZ82*0.9-1100000,0)</f>
        <v>0</v>
      </c>
      <c r="BD73" s="130"/>
      <c r="BE73" s="130"/>
      <c r="BG73" s="36">
        <f>IF(AND($BL$82&gt;=BH73,$BN$86&lt;=10000000),1,(IF(AND($BL$82&gt;=BH73,$BN$86&gt;10000000,$BN$86&lt;=20000000),2,(IF(AND($BL$82&gt;=BH73,$BN$86&gt;20000000),3,0)))))</f>
        <v>0</v>
      </c>
      <c r="BH73" s="148">
        <v>10000000</v>
      </c>
      <c r="BI73" s="149"/>
      <c r="BJ73" s="150"/>
      <c r="BK73" s="89" t="s">
        <v>37</v>
      </c>
      <c r="BL73" s="148"/>
      <c r="BM73" s="149"/>
      <c r="BN73" s="150"/>
      <c r="BO73" s="130">
        <f>IF(BG73=1,BL82-1955000,IF(BG73=2,BL82-1855000,IF(BG73=3,BL82-1755000,0)))</f>
        <v>0</v>
      </c>
      <c r="BP73" s="130"/>
      <c r="BQ73" s="130"/>
      <c r="BR73" s="44"/>
      <c r="BS73" s="36">
        <f>IF(AND($BX$82&gt;=BT73,$BZ$86&lt;=10000000),1,(IF(AND($BX$82&gt;=BT73,$BZ$86&gt;10000000,$BZ$86&lt;=20000000),2,(IF(AND($BX$82&gt;=BT73,$BZ$86&gt;20000000),3,0)))))</f>
        <v>0</v>
      </c>
      <c r="BT73" s="148">
        <v>10000000</v>
      </c>
      <c r="BU73" s="149"/>
      <c r="BV73" s="150"/>
      <c r="BW73" s="89" t="s">
        <v>37</v>
      </c>
      <c r="BX73" s="148"/>
      <c r="BY73" s="149"/>
      <c r="BZ73" s="150"/>
      <c r="CA73" s="130">
        <f>IF(BS73=1,BX82-1955000,IF(BS73=2,BX82-1855000,IF(BS73=3,BX82-1755000,0)))</f>
        <v>0</v>
      </c>
      <c r="CB73" s="130"/>
      <c r="CC73" s="130"/>
    </row>
    <row r="74" spans="2:81" ht="2.25" hidden="1" customHeight="1" x14ac:dyDescent="0.15">
      <c r="D74" s="81" t="s">
        <v>104</v>
      </c>
      <c r="E74" s="138" t="e">
        <f>ROUNDDOWN(SUMPRODUCT($T$40,$E$40,$AC$40),0)</f>
        <v>#VALUE!</v>
      </c>
      <c r="F74" s="138"/>
      <c r="G74" s="138"/>
      <c r="H74" s="138" t="e">
        <f>ROUNDDOWN(ROUNDDOWN(SUMPRODUCT($T$40,$E$40,$AC$40),0)*$E$6%,0)</f>
        <v>#VALUE!</v>
      </c>
      <c r="I74" s="138"/>
      <c r="J74" s="138"/>
      <c r="K74" s="138" t="e">
        <f>IF($E$69=0,ROUNDDOWN(SUMPRODUCT($E$40,$AC$40,$AG$40),0),IF($E$68=0,ROUNDDOWN(SUMPRODUCT($E$40,$AC$40,$AH$40),0),IF($E$68=1,ROUNDDOWN(SUMPRODUCT($E$40,$AI$40,$AN$40),0),"ERROR")))</f>
        <v>#VALUE!</v>
      </c>
      <c r="L74" s="138"/>
      <c r="M74" s="138"/>
      <c r="N74" s="138" t="e">
        <f>IF(D40=$AO$41,0,ROUNDDOWN(MAX($E$40:$F$47)*$M$6/12,0)/$E$48)</f>
        <v>#DIV/0!</v>
      </c>
      <c r="O74" s="138"/>
      <c r="P74" s="138"/>
      <c r="Q74" s="138" t="str">
        <f>IF($AC$39=0,"軽減なし",$AC$39&amp;"割軽減")</f>
        <v>7割軽減</v>
      </c>
      <c r="R74" s="138"/>
      <c r="S74" s="138"/>
      <c r="T74" s="138" t="e">
        <f>IF(E69=1,K74,ROUNDUP(K74*$AD$39,0))</f>
        <v>#VALUE!</v>
      </c>
      <c r="U74" s="138"/>
      <c r="V74" s="138"/>
      <c r="W74" s="138" t="e">
        <f>ROUNDUP(N74*$AE$39,0)</f>
        <v>#DIV/0!</v>
      </c>
      <c r="X74" s="138"/>
      <c r="Y74" s="138"/>
      <c r="Z74" s="78" t="s">
        <v>0</v>
      </c>
      <c r="AA74" s="138" t="e">
        <f>SUM(K74:P74,H74)-SUM(T74:Y74)</f>
        <v>#VALUE!</v>
      </c>
      <c r="AB74" s="138"/>
      <c r="AC74" s="138"/>
      <c r="AD74" s="78" t="s">
        <v>8</v>
      </c>
      <c r="AE74" s="138" t="e">
        <f>IF(AA74&gt;$Q$6/12*$E$40,ROUNDDOWN($Q$6/12*$E$40,0),ROUNDDOWN(AA74,-2))</f>
        <v>#VALUE!</v>
      </c>
      <c r="AF74" s="138"/>
      <c r="AG74" s="138"/>
      <c r="AH74" s="88"/>
      <c r="AU74" s="36">
        <f>IF($AZ$82&gt;=AV74,1,0)</f>
        <v>0</v>
      </c>
      <c r="AV74" s="129">
        <v>8500000</v>
      </c>
      <c r="AW74" s="129"/>
      <c r="AX74" s="129"/>
      <c r="AY74" s="93" t="s">
        <v>37</v>
      </c>
      <c r="AZ74" s="129"/>
      <c r="BA74" s="129"/>
      <c r="BB74" s="129"/>
      <c r="BC74" s="130">
        <f>IF(AU74=1,AZ82-1950000,0)</f>
        <v>0</v>
      </c>
      <c r="BD74" s="130"/>
      <c r="BE74" s="130"/>
      <c r="BG74" s="36"/>
      <c r="BH74" s="148"/>
      <c r="BI74" s="149"/>
      <c r="BJ74" s="150"/>
      <c r="BK74" s="89" t="s">
        <v>37</v>
      </c>
      <c r="BL74" s="148"/>
      <c r="BM74" s="149"/>
      <c r="BN74" s="150"/>
      <c r="BO74" s="130"/>
      <c r="BP74" s="130"/>
      <c r="BQ74" s="130"/>
      <c r="BR74" s="44"/>
      <c r="BS74" s="36"/>
      <c r="BT74" s="148"/>
      <c r="BU74" s="149"/>
      <c r="BV74" s="150"/>
      <c r="BW74" s="89" t="s">
        <v>37</v>
      </c>
      <c r="BX74" s="148"/>
      <c r="BY74" s="149"/>
      <c r="BZ74" s="150"/>
      <c r="CA74" s="130"/>
      <c r="CB74" s="130"/>
      <c r="CC74" s="130"/>
    </row>
    <row r="75" spans="2:81" ht="2.25" hidden="1" customHeight="1" x14ac:dyDescent="0.15">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88"/>
      <c r="AU75" s="36"/>
      <c r="AV75" s="129"/>
      <c r="AW75" s="129"/>
      <c r="AX75" s="129"/>
      <c r="AY75" s="89" t="s">
        <v>37</v>
      </c>
      <c r="AZ75" s="129"/>
      <c r="BA75" s="129"/>
      <c r="BB75" s="129"/>
      <c r="BC75" s="130"/>
      <c r="BD75" s="130"/>
      <c r="BE75" s="130"/>
      <c r="BG75" s="36"/>
      <c r="BH75" s="148"/>
      <c r="BI75" s="149"/>
      <c r="BJ75" s="150"/>
      <c r="BK75" s="89" t="s">
        <v>37</v>
      </c>
      <c r="BL75" s="148"/>
      <c r="BM75" s="149"/>
      <c r="BN75" s="150"/>
      <c r="BO75" s="130"/>
      <c r="BP75" s="130"/>
      <c r="BQ75" s="130"/>
      <c r="BR75" s="44"/>
      <c r="BS75" s="36"/>
      <c r="BT75" s="148"/>
      <c r="BU75" s="149"/>
      <c r="BV75" s="150"/>
      <c r="BW75" s="89" t="s">
        <v>37</v>
      </c>
      <c r="BX75" s="148"/>
      <c r="BY75" s="149"/>
      <c r="BZ75" s="150"/>
      <c r="CA75" s="130"/>
      <c r="CB75" s="130"/>
      <c r="CC75" s="130"/>
    </row>
    <row r="76" spans="2:81" ht="2.25" hidden="1" customHeight="1" x14ac:dyDescent="0.15">
      <c r="B76" s="2" t="s">
        <v>92</v>
      </c>
      <c r="D76" s="70" t="s">
        <v>91</v>
      </c>
      <c r="E76" s="57">
        <f>IF($E$23&lt;6,1,IF($E$23&gt;=6,0,"ERROR"))</f>
        <v>1</v>
      </c>
      <c r="I76" s="57"/>
      <c r="AU76" s="36"/>
      <c r="AV76" s="129"/>
      <c r="AW76" s="129"/>
      <c r="AX76" s="129"/>
      <c r="AY76" s="89" t="s">
        <v>37</v>
      </c>
      <c r="AZ76" s="129"/>
      <c r="BA76" s="129"/>
      <c r="BB76" s="129"/>
      <c r="BC76" s="130"/>
      <c r="BD76" s="130"/>
      <c r="BE76" s="130"/>
      <c r="BG76" s="36"/>
      <c r="BH76" s="148"/>
      <c r="BI76" s="149"/>
      <c r="BJ76" s="150"/>
      <c r="BK76" s="89" t="s">
        <v>37</v>
      </c>
      <c r="BL76" s="148"/>
      <c r="BM76" s="149"/>
      <c r="BN76" s="150"/>
      <c r="BO76" s="130"/>
      <c r="BP76" s="130"/>
      <c r="BQ76" s="130"/>
      <c r="BR76" s="44"/>
      <c r="BS76" s="36"/>
      <c r="BT76" s="148"/>
      <c r="BU76" s="149"/>
      <c r="BV76" s="150"/>
      <c r="BW76" s="89" t="s">
        <v>37</v>
      </c>
      <c r="BX76" s="148"/>
      <c r="BY76" s="149"/>
      <c r="BZ76" s="150"/>
      <c r="CA76" s="130"/>
      <c r="CB76" s="130"/>
      <c r="CC76" s="130"/>
    </row>
    <row r="77" spans="2:81" ht="2.25" hidden="1" customHeight="1" x14ac:dyDescent="0.15">
      <c r="D77" s="91" t="s">
        <v>105</v>
      </c>
      <c r="E77" s="57">
        <f>IF($E$23&lt;18,1,IF($E$23&gt;=18,0,"ERROR"))</f>
        <v>1</v>
      </c>
      <c r="I77" s="57"/>
      <c r="AU77" s="36"/>
      <c r="AV77" s="129"/>
      <c r="AW77" s="129"/>
      <c r="AX77" s="129"/>
      <c r="AY77" s="89" t="s">
        <v>37</v>
      </c>
      <c r="AZ77" s="129"/>
      <c r="BA77" s="129"/>
      <c r="BB77" s="129"/>
      <c r="BC77" s="130"/>
      <c r="BD77" s="130"/>
      <c r="BE77" s="130"/>
      <c r="BG77" s="36"/>
      <c r="BH77" s="148"/>
      <c r="BI77" s="149"/>
      <c r="BJ77" s="150"/>
      <c r="BK77" s="89" t="s">
        <v>37</v>
      </c>
      <c r="BL77" s="148"/>
      <c r="BM77" s="149"/>
      <c r="BN77" s="150"/>
      <c r="BO77" s="130"/>
      <c r="BP77" s="130"/>
      <c r="BQ77" s="130"/>
      <c r="BR77" s="44"/>
      <c r="BS77" s="36"/>
      <c r="BT77" s="148"/>
      <c r="BU77" s="149"/>
      <c r="BV77" s="150"/>
      <c r="BW77" s="89" t="s">
        <v>37</v>
      </c>
      <c r="BX77" s="148"/>
      <c r="BY77" s="149"/>
      <c r="BZ77" s="150"/>
      <c r="CA77" s="130"/>
      <c r="CB77" s="130"/>
      <c r="CC77" s="130"/>
    </row>
    <row r="78" spans="2:81" ht="2.25" hidden="1" customHeight="1" x14ac:dyDescent="0.15">
      <c r="D78" s="69"/>
      <c r="E78" s="146" t="s">
        <v>20</v>
      </c>
      <c r="F78" s="147"/>
      <c r="G78" s="147"/>
      <c r="H78" s="145" t="s">
        <v>7</v>
      </c>
      <c r="I78" s="145"/>
      <c r="J78" s="145"/>
      <c r="K78" s="145" t="s">
        <v>28</v>
      </c>
      <c r="L78" s="145"/>
      <c r="M78" s="145"/>
      <c r="N78" s="145" t="s">
        <v>29</v>
      </c>
      <c r="O78" s="145"/>
      <c r="P78" s="145"/>
      <c r="Q78" s="145" t="s">
        <v>6</v>
      </c>
      <c r="R78" s="145"/>
      <c r="S78" s="145"/>
      <c r="T78" s="144" t="s">
        <v>71</v>
      </c>
      <c r="U78" s="145"/>
      <c r="V78" s="145"/>
      <c r="W78" s="144" t="s">
        <v>72</v>
      </c>
      <c r="X78" s="145"/>
      <c r="Y78" s="145"/>
      <c r="AA78" s="145" t="s">
        <v>73</v>
      </c>
      <c r="AB78" s="145"/>
      <c r="AC78" s="145"/>
      <c r="AD78" s="69"/>
      <c r="AE78" s="145" t="s">
        <v>74</v>
      </c>
      <c r="AF78" s="145"/>
      <c r="AG78" s="145"/>
      <c r="AH78" s="90"/>
      <c r="AU78" s="36"/>
      <c r="AV78" s="129"/>
      <c r="AW78" s="129"/>
      <c r="AX78" s="129"/>
      <c r="AY78" s="89" t="s">
        <v>37</v>
      </c>
      <c r="AZ78" s="129"/>
      <c r="BA78" s="129"/>
      <c r="BB78" s="129"/>
      <c r="BC78" s="130"/>
      <c r="BD78" s="130"/>
      <c r="BE78" s="130"/>
      <c r="BG78" s="36"/>
      <c r="BH78" s="148"/>
      <c r="BI78" s="149"/>
      <c r="BJ78" s="150"/>
      <c r="BK78" s="89" t="s">
        <v>37</v>
      </c>
      <c r="BL78" s="148"/>
      <c r="BM78" s="149"/>
      <c r="BN78" s="150"/>
      <c r="BO78" s="130"/>
      <c r="BP78" s="130"/>
      <c r="BQ78" s="130"/>
      <c r="BR78" s="44"/>
      <c r="BS78" s="36"/>
      <c r="BT78" s="148"/>
      <c r="BU78" s="149"/>
      <c r="BV78" s="150"/>
      <c r="BW78" s="89" t="s">
        <v>37</v>
      </c>
      <c r="BX78" s="148"/>
      <c r="BY78" s="149"/>
      <c r="BZ78" s="150"/>
      <c r="CA78" s="130"/>
      <c r="CB78" s="130"/>
      <c r="CC78" s="130"/>
    </row>
    <row r="79" spans="2:81" ht="2.25" hidden="1" customHeight="1" x14ac:dyDescent="0.15">
      <c r="D79" s="69" t="s">
        <v>1</v>
      </c>
      <c r="E79" s="138">
        <f>IF($E$41="",0,ROUNDDOWN(SUMPRODUCT($T$41,$E$41,$AC$41),0))</f>
        <v>0</v>
      </c>
      <c r="F79" s="138"/>
      <c r="G79" s="138"/>
      <c r="H79" s="138">
        <f>IF($E$41="",0,ROUNDDOWN(ROUNDDOWN(SUMPRODUCT($T$41,$E$41,$AC$41),0)*$E$3%,0))</f>
        <v>0</v>
      </c>
      <c r="I79" s="138"/>
      <c r="J79" s="138"/>
      <c r="K79" s="138">
        <f>IF($E$41="",0,IF($E$76=0,ROUNDDOWN(($E$41*$AC$41*$AD$41),0),IF($E$76=1,ROUNDDOWN(($E$41*$AI$41*$AJ$41),0),"ERROR")))</f>
        <v>0</v>
      </c>
      <c r="L79" s="138"/>
      <c r="M79" s="138"/>
      <c r="N79" s="138">
        <f>IF($E$41="",0,ROUNDDOWN(MAX($E$40:$F$47)*$M$3/12,0)/$E$48)</f>
        <v>0</v>
      </c>
      <c r="O79" s="138"/>
      <c r="P79" s="138"/>
      <c r="Q79" s="138" t="str">
        <f>IF($AC$39=0,"軽減なし",$AC$39&amp;"割軽減")</f>
        <v>7割軽減</v>
      </c>
      <c r="R79" s="138"/>
      <c r="S79" s="138"/>
      <c r="T79" s="138">
        <f>ROUNDUP(K79*$AD$39,0)</f>
        <v>0</v>
      </c>
      <c r="U79" s="138"/>
      <c r="V79" s="138"/>
      <c r="W79" s="138">
        <f>ROUNDUP(N79*$AE$39,0)</f>
        <v>0</v>
      </c>
      <c r="X79" s="138"/>
      <c r="Y79" s="138"/>
      <c r="Z79" s="68" t="s">
        <v>0</v>
      </c>
      <c r="AA79" s="138">
        <f>SUM(K79:P79,H79)-SUM(T79:Y79)</f>
        <v>0</v>
      </c>
      <c r="AB79" s="138"/>
      <c r="AC79" s="138"/>
      <c r="AD79" s="68" t="s">
        <v>8</v>
      </c>
      <c r="AE79" s="138">
        <f>IF($E$41="",0,IF(AA79&gt;$Q$3/12*$E$41,ROUNDDOWN($Q$3/12*$E$41,0),ROUNDDOWN(AA79,-2)))</f>
        <v>0</v>
      </c>
      <c r="AF79" s="138"/>
      <c r="AG79" s="138"/>
      <c r="AH79" s="88"/>
      <c r="AU79" s="36"/>
      <c r="AV79" s="129"/>
      <c r="AW79" s="129"/>
      <c r="AX79" s="129"/>
      <c r="AY79" s="89" t="s">
        <v>37</v>
      </c>
      <c r="AZ79" s="129"/>
      <c r="BA79" s="129"/>
      <c r="BB79" s="129"/>
      <c r="BC79" s="130"/>
      <c r="BD79" s="130"/>
      <c r="BE79" s="130"/>
      <c r="BG79" s="36"/>
      <c r="BH79" s="148"/>
      <c r="BI79" s="149"/>
      <c r="BJ79" s="150"/>
      <c r="BK79" s="89" t="s">
        <v>37</v>
      </c>
      <c r="BL79" s="148"/>
      <c r="BM79" s="149"/>
      <c r="BN79" s="150"/>
      <c r="BO79" s="130"/>
      <c r="BP79" s="130"/>
      <c r="BQ79" s="130"/>
      <c r="BR79" s="44"/>
      <c r="BS79" s="36"/>
      <c r="BT79" s="148"/>
      <c r="BU79" s="149"/>
      <c r="BV79" s="150"/>
      <c r="BW79" s="89" t="s">
        <v>37</v>
      </c>
      <c r="BX79" s="148"/>
      <c r="BY79" s="149"/>
      <c r="BZ79" s="150"/>
      <c r="CA79" s="130"/>
      <c r="CB79" s="130"/>
      <c r="CC79" s="130"/>
    </row>
    <row r="80" spans="2:81" ht="2.25" hidden="1" customHeight="1" x14ac:dyDescent="0.15">
      <c r="D80" s="69" t="s">
        <v>2</v>
      </c>
      <c r="E80" s="138">
        <f>IF($E$41="",0,ROUNDDOWN(SUMPRODUCT($T$41,$E$41,$AC$41),0))</f>
        <v>0</v>
      </c>
      <c r="F80" s="138"/>
      <c r="G80" s="138"/>
      <c r="H80" s="138">
        <f>IF($E$41="",0,ROUNDDOWN(ROUNDDOWN(SUMPRODUCT($T$41,$E$41,$AC$41),0)*$E$4%,0))</f>
        <v>0</v>
      </c>
      <c r="I80" s="138"/>
      <c r="J80" s="138"/>
      <c r="K80" s="138">
        <f>IF($E$41="",0,IF($E$76=0,ROUNDDOWN(($E$41*$AC$41*$AE$41),0),IF($E$76=1,ROUNDDOWN(($E$41*$AI$41*$AK$41),0),"ERROR")))</f>
        <v>0</v>
      </c>
      <c r="L80" s="138"/>
      <c r="M80" s="138"/>
      <c r="N80" s="138">
        <f>IF($E$41="",0,ROUNDDOWN(MAX($E$40:$F$47)*$M$4/12,0)/$E$48)</f>
        <v>0</v>
      </c>
      <c r="O80" s="138"/>
      <c r="P80" s="138"/>
      <c r="Q80" s="138" t="str">
        <f>IF($AC$39=0,"軽減なし",$AC$39&amp;"割軽減")</f>
        <v>7割軽減</v>
      </c>
      <c r="R80" s="138"/>
      <c r="S80" s="138"/>
      <c r="T80" s="138">
        <f>ROUNDUP(K80*$AD$39,0)</f>
        <v>0</v>
      </c>
      <c r="U80" s="138"/>
      <c r="V80" s="138"/>
      <c r="W80" s="138">
        <f>ROUNDUP(N80*$AE$39,0)</f>
        <v>0</v>
      </c>
      <c r="X80" s="138"/>
      <c r="Y80" s="138"/>
      <c r="Z80" s="68" t="s">
        <v>0</v>
      </c>
      <c r="AA80" s="138">
        <f>SUM(K80:P80,H80)-SUM(T80:Y80)</f>
        <v>0</v>
      </c>
      <c r="AB80" s="138"/>
      <c r="AC80" s="138"/>
      <c r="AD80" s="68" t="s">
        <v>8</v>
      </c>
      <c r="AE80" s="138">
        <f>IF($E$41="",0,IF(AA80&gt;$Q$4/12*$E$41,ROUNDDOWN($Q$4/12*$E$41,0),ROUNDDOWN(AA80,-2)))</f>
        <v>0</v>
      </c>
      <c r="AF80" s="138"/>
      <c r="AG80" s="138"/>
      <c r="AH80" s="88"/>
      <c r="AU80" s="70"/>
      <c r="AV80" s="41"/>
      <c r="AW80" s="41"/>
      <c r="AX80" s="41"/>
      <c r="AY80" s="70"/>
      <c r="AZ80" s="33"/>
      <c r="BA80" s="33"/>
      <c r="BB80" s="33"/>
      <c r="BC80" s="38"/>
      <c r="BD80" s="38"/>
      <c r="BE80" s="38"/>
      <c r="BG80" s="70"/>
      <c r="BH80" s="41"/>
      <c r="BI80" s="41"/>
      <c r="BJ80" s="41"/>
      <c r="BK80" s="70"/>
      <c r="BL80" s="33"/>
      <c r="BM80" s="33"/>
      <c r="BN80" s="33"/>
      <c r="BO80" s="38"/>
      <c r="BP80" s="38"/>
      <c r="BQ80" s="38"/>
      <c r="BR80" s="38"/>
      <c r="BS80" s="70"/>
      <c r="BT80" s="41"/>
      <c r="BU80" s="41"/>
      <c r="BV80" s="41"/>
      <c r="BW80" s="70"/>
      <c r="BX80" s="33"/>
      <c r="BY80" s="33"/>
      <c r="BZ80" s="33"/>
      <c r="CA80" s="38"/>
      <c r="CB80" s="38"/>
      <c r="CC80" s="38"/>
    </row>
    <row r="81" spans="2:81" ht="2.25" hidden="1" customHeight="1" x14ac:dyDescent="0.15">
      <c r="D81" s="69" t="s">
        <v>3</v>
      </c>
      <c r="E81" s="138">
        <f>IF($E$41="",0,ROUNDDOWN(SUMPRODUCT($T$41,$G$41,$AC$41),0))</f>
        <v>0</v>
      </c>
      <c r="F81" s="138"/>
      <c r="G81" s="138"/>
      <c r="H81" s="138">
        <f>IF($E$41="",0,ROUNDDOWN(ROUNDDOWN(SUMPRODUCT($T$41,$G$41,$AC$41),0)*$E$5%,0))</f>
        <v>0</v>
      </c>
      <c r="I81" s="138"/>
      <c r="J81" s="138"/>
      <c r="K81" s="138">
        <f>IF($E$41="",0,IF($E$76=0,ROUNDDOWN(($G$41*$AC$41*$AF$41),0),IF($E$76=1,ROUNDDOWN(($G$41*$AI$41*$AL$41),0),"ERROR")))</f>
        <v>0</v>
      </c>
      <c r="L81" s="138"/>
      <c r="M81" s="138"/>
      <c r="N81" s="138">
        <f>IF(K81=0,0,$M$5)</f>
        <v>0</v>
      </c>
      <c r="O81" s="138"/>
      <c r="P81" s="138"/>
      <c r="Q81" s="138" t="str">
        <f>IF($AC$39=0,"軽減なし",$AC$39&amp;"割軽減")</f>
        <v>7割軽減</v>
      </c>
      <c r="R81" s="138"/>
      <c r="S81" s="138"/>
      <c r="T81" s="138">
        <f>ROUNDUP(K81*$AD$39,0)</f>
        <v>0</v>
      </c>
      <c r="U81" s="138"/>
      <c r="V81" s="138"/>
      <c r="W81" s="138">
        <f>ROUNDUP(N81*$AE$39,0)</f>
        <v>0</v>
      </c>
      <c r="X81" s="138"/>
      <c r="Y81" s="138"/>
      <c r="Z81" s="68" t="s">
        <v>0</v>
      </c>
      <c r="AA81" s="138">
        <f>SUM(K81:P81,H81)-SUM(T81:Y81)</f>
        <v>0</v>
      </c>
      <c r="AB81" s="138"/>
      <c r="AC81" s="138"/>
      <c r="AD81" s="68" t="s">
        <v>8</v>
      </c>
      <c r="AE81" s="138">
        <f>IF($E$41="",0,IF(AA81&gt;$Q$5/12*$G$41,ROUNDDOWN($Q$5/12*$G$41,0),ROUNDDOWN(AA81,-2)))</f>
        <v>0</v>
      </c>
      <c r="AF81" s="138"/>
      <c r="AG81" s="138"/>
      <c r="AH81" s="88"/>
      <c r="AU81" s="79"/>
      <c r="AV81" s="41"/>
      <c r="AW81" s="41"/>
      <c r="AX81" s="41"/>
      <c r="AY81" s="79"/>
      <c r="AZ81" s="33"/>
      <c r="BA81" s="33"/>
      <c r="BB81" s="33"/>
      <c r="BC81" s="38"/>
      <c r="BD81" s="38"/>
      <c r="BE81" s="38"/>
      <c r="BG81" s="79"/>
      <c r="BH81" s="41"/>
      <c r="BI81" s="41"/>
      <c r="BJ81" s="41"/>
      <c r="BK81" s="79"/>
      <c r="BL81" s="33"/>
      <c r="BM81" s="33"/>
      <c r="BN81" s="33"/>
      <c r="BO81" s="38"/>
      <c r="BP81" s="38"/>
      <c r="BQ81" s="38"/>
      <c r="BR81" s="38"/>
      <c r="BS81" s="79"/>
      <c r="BT81" s="41"/>
      <c r="BU81" s="41"/>
      <c r="BV81" s="41"/>
      <c r="BW81" s="79"/>
      <c r="BX81" s="33"/>
      <c r="BY81" s="33"/>
      <c r="BZ81" s="33"/>
      <c r="CA81" s="38"/>
      <c r="CB81" s="38"/>
      <c r="CC81" s="38"/>
    </row>
    <row r="82" spans="2:81" ht="2.25" hidden="1" customHeight="1" x14ac:dyDescent="0.15">
      <c r="D82" s="81" t="s">
        <v>104</v>
      </c>
      <c r="E82" s="138">
        <f>IF($E$41="",0,ROUNDDOWN(SUMPRODUCT($T$41,$E$41,$AC$41),0))</f>
        <v>0</v>
      </c>
      <c r="F82" s="138"/>
      <c r="G82" s="138"/>
      <c r="H82" s="138">
        <f>IF($E$41="",0,ROUNDDOWN(ROUNDDOWN(SUMPRODUCT($T$41,$E$41,$AC$41),0)*$E$6%,0))</f>
        <v>0</v>
      </c>
      <c r="I82" s="138"/>
      <c r="J82" s="138"/>
      <c r="K82" s="138">
        <f>IF(E41="",0,IF($E$77=0,ROUNDDOWN(SUMPRODUCT($E$41,$AC$41,$AG$41),0),IF($E$76=0,ROUNDDOWN(SUMPRODUCT($E$41,$AC$41,$AH$41),0),IF($E$76=1,ROUNDDOWN(SUMPRODUCT($E$41,$AI$41,$AN$41),0),"ERROR"))))</f>
        <v>0</v>
      </c>
      <c r="L82" s="138"/>
      <c r="M82" s="138"/>
      <c r="N82" s="138">
        <f>IF(K82=0,0,$M$6)</f>
        <v>0</v>
      </c>
      <c r="O82" s="138"/>
      <c r="P82" s="138"/>
      <c r="Q82" s="138" t="str">
        <f>IF($AC$39=0,"軽減なし",$AC$39&amp;"割軽減")</f>
        <v>7割軽減</v>
      </c>
      <c r="R82" s="138"/>
      <c r="S82" s="138"/>
      <c r="T82" s="138">
        <f>IF(E77=1,K82,ROUNDUP(K82*$AD$39,0))</f>
        <v>0</v>
      </c>
      <c r="U82" s="138"/>
      <c r="V82" s="138"/>
      <c r="W82" s="138">
        <f>ROUNDUP(N82*$AE$39,0)</f>
        <v>0</v>
      </c>
      <c r="X82" s="138"/>
      <c r="Y82" s="138"/>
      <c r="Z82" s="78" t="s">
        <v>0</v>
      </c>
      <c r="AA82" s="138">
        <f>SUM(K82:P82,H82)-SUM(T82:Y82)</f>
        <v>0</v>
      </c>
      <c r="AB82" s="138"/>
      <c r="AC82" s="138"/>
      <c r="AD82" s="78" t="s">
        <v>8</v>
      </c>
      <c r="AE82" s="138">
        <f>IF($E$41="",0,IF(AA82&gt;$Q$6/12*$E$41,ROUNDDOWN($Q$6/12*$E$41,0),ROUNDDOWN(AA82,-2)))</f>
        <v>0</v>
      </c>
      <c r="AF82" s="138"/>
      <c r="AG82" s="138"/>
      <c r="AH82" s="88"/>
      <c r="AU82" s="70"/>
      <c r="AV82" s="120" t="s">
        <v>31</v>
      </c>
      <c r="AW82" s="120"/>
      <c r="AX82" s="120"/>
      <c r="AY82" s="120"/>
      <c r="AZ82" s="121">
        <f>F24</f>
        <v>0</v>
      </c>
      <c r="BA82" s="122"/>
      <c r="BB82" s="123"/>
      <c r="BC82" s="39"/>
      <c r="BD82" s="40"/>
      <c r="BE82" s="40"/>
      <c r="BG82" s="70"/>
      <c r="BH82" s="120" t="s">
        <v>43</v>
      </c>
      <c r="BI82" s="120"/>
      <c r="BJ82" s="120"/>
      <c r="BK82" s="120"/>
      <c r="BL82" s="124">
        <f>J24</f>
        <v>0</v>
      </c>
      <c r="BM82" s="124"/>
      <c r="BN82" s="124"/>
      <c r="BO82" s="39"/>
      <c r="BP82" s="40"/>
      <c r="BQ82" s="40"/>
      <c r="BR82" s="40"/>
      <c r="BS82" s="70"/>
      <c r="BT82" s="120" t="s">
        <v>43</v>
      </c>
      <c r="BU82" s="120"/>
      <c r="BV82" s="120"/>
      <c r="BW82" s="120"/>
      <c r="BX82" s="124">
        <f>BL82</f>
        <v>0</v>
      </c>
      <c r="BY82" s="124"/>
      <c r="BZ82" s="124"/>
      <c r="CA82" s="39"/>
      <c r="CB82" s="40"/>
      <c r="CC82" s="40"/>
    </row>
    <row r="83" spans="2:81" ht="2.25" hidden="1" customHeight="1" x14ac:dyDescent="0.15">
      <c r="AV83" s="120" t="s">
        <v>42</v>
      </c>
      <c r="AW83" s="120"/>
      <c r="AX83" s="120"/>
      <c r="AY83" s="120"/>
      <c r="AZ83" s="127">
        <f>SUM(BC69:BE79)</f>
        <v>0</v>
      </c>
      <c r="BA83" s="125"/>
      <c r="BB83" s="125"/>
      <c r="BH83" s="120" t="s">
        <v>44</v>
      </c>
      <c r="BI83" s="120"/>
      <c r="BJ83" s="120"/>
      <c r="BK83" s="120"/>
      <c r="BL83" s="127">
        <f>SUM(BO69:BQ79)</f>
        <v>0</v>
      </c>
      <c r="BM83" s="125"/>
      <c r="BN83" s="125"/>
      <c r="BO83" s="57">
        <f>IF(D24&lt;65,1,0)</f>
        <v>1</v>
      </c>
      <c r="BT83" s="120" t="s">
        <v>44</v>
      </c>
      <c r="BU83" s="120"/>
      <c r="BV83" s="120"/>
      <c r="BW83" s="120"/>
      <c r="BX83" s="127">
        <f>SUM(CA69:CC79)</f>
        <v>0</v>
      </c>
      <c r="BY83" s="125"/>
      <c r="BZ83" s="125"/>
      <c r="CA83" s="57">
        <f>IF(D24&lt;65,0,1)</f>
        <v>0</v>
      </c>
    </row>
    <row r="84" spans="2:81" ht="2.25" hidden="1" customHeight="1" x14ac:dyDescent="0.15">
      <c r="B84" s="2" t="s">
        <v>93</v>
      </c>
      <c r="D84" s="70" t="s">
        <v>91</v>
      </c>
      <c r="E84" s="57">
        <f>IF($E$24&lt;6,1,IF($E$24&gt;=6,0,"ERROR"))</f>
        <v>1</v>
      </c>
      <c r="I84" s="57"/>
      <c r="BL84" s="42"/>
      <c r="BM84" s="42"/>
      <c r="BN84" s="42"/>
      <c r="BX84" s="42"/>
      <c r="BY84" s="42"/>
      <c r="BZ84" s="42"/>
    </row>
    <row r="85" spans="2:81" ht="2.25" hidden="1" customHeight="1" x14ac:dyDescent="0.15">
      <c r="D85" s="91" t="s">
        <v>105</v>
      </c>
      <c r="E85" s="57">
        <f>IF($E$24&lt;18,1,IF($E$24&gt;=18,0,"ERROR"))</f>
        <v>1</v>
      </c>
      <c r="I85" s="57"/>
      <c r="BG85" s="125" t="s">
        <v>45</v>
      </c>
      <c r="BH85" s="125"/>
      <c r="BI85" s="125"/>
      <c r="BJ85" s="125"/>
      <c r="BK85" s="125"/>
      <c r="BL85" s="125"/>
      <c r="BM85" s="125"/>
      <c r="BN85" s="125"/>
      <c r="BO85" s="125"/>
      <c r="BP85" s="125"/>
      <c r="BQ85" s="125"/>
      <c r="BR85" s="61"/>
      <c r="BS85" s="125" t="s">
        <v>45</v>
      </c>
      <c r="BT85" s="125"/>
      <c r="BU85" s="125"/>
      <c r="BV85" s="125"/>
      <c r="BW85" s="125"/>
      <c r="BX85" s="125"/>
      <c r="BY85" s="125"/>
      <c r="BZ85" s="125"/>
      <c r="CA85" s="125"/>
      <c r="CB85" s="125"/>
      <c r="CC85" s="125"/>
    </row>
    <row r="86" spans="2:81" ht="2.25" hidden="1" customHeight="1" x14ac:dyDescent="0.15">
      <c r="D86" s="69"/>
      <c r="E86" s="146" t="s">
        <v>20</v>
      </c>
      <c r="F86" s="147"/>
      <c r="G86" s="147"/>
      <c r="H86" s="145" t="s">
        <v>7</v>
      </c>
      <c r="I86" s="145"/>
      <c r="J86" s="145"/>
      <c r="K86" s="145" t="s">
        <v>28</v>
      </c>
      <c r="L86" s="145"/>
      <c r="M86" s="145"/>
      <c r="N86" s="145" t="s">
        <v>29</v>
      </c>
      <c r="O86" s="145"/>
      <c r="P86" s="145"/>
      <c r="Q86" s="145" t="s">
        <v>6</v>
      </c>
      <c r="R86" s="145"/>
      <c r="S86" s="145"/>
      <c r="T86" s="144" t="s">
        <v>71</v>
      </c>
      <c r="U86" s="145"/>
      <c r="V86" s="145"/>
      <c r="W86" s="144" t="s">
        <v>72</v>
      </c>
      <c r="X86" s="145"/>
      <c r="Y86" s="145"/>
      <c r="AA86" s="145" t="s">
        <v>73</v>
      </c>
      <c r="AB86" s="145"/>
      <c r="AC86" s="145"/>
      <c r="AD86" s="69"/>
      <c r="AE86" s="145" t="s">
        <v>74</v>
      </c>
      <c r="AF86" s="145"/>
      <c r="AG86" s="145"/>
      <c r="AH86" s="90"/>
      <c r="BN86" s="128">
        <f>V24</f>
        <v>0</v>
      </c>
      <c r="BO86" s="128"/>
      <c r="BP86" s="128"/>
      <c r="BQ86" s="128"/>
      <c r="BR86" s="45"/>
      <c r="BZ86" s="128">
        <f>BN86</f>
        <v>0</v>
      </c>
      <c r="CA86" s="128"/>
      <c r="CB86" s="128"/>
      <c r="CC86" s="128"/>
    </row>
    <row r="87" spans="2:81" ht="2.25" hidden="1" customHeight="1" x14ac:dyDescent="0.15">
      <c r="D87" s="69" t="s">
        <v>1</v>
      </c>
      <c r="E87" s="138">
        <f>IF($E$42="",0,ROUNDDOWN(SUMPRODUCT($T$42,$E$42,$AC$42),0))</f>
        <v>0</v>
      </c>
      <c r="F87" s="138"/>
      <c r="G87" s="138"/>
      <c r="H87" s="138">
        <f>IF($E$42="",0,ROUNDDOWN(ROUNDDOWN(SUMPRODUCT($T$42,$E$42,$AC$42),0)*$E$3%,0))</f>
        <v>0</v>
      </c>
      <c r="I87" s="138"/>
      <c r="J87" s="138"/>
      <c r="K87" s="138">
        <f>IF($E$42="",0,IF($E$84=0,ROUNDDOWN(($E$42*$AC$42*$AD$42),0),IF($E$84=1,ROUNDDOWN(($E$42*$AI$42*$AJ$42),0),"ERROR")))</f>
        <v>0</v>
      </c>
      <c r="L87" s="138"/>
      <c r="M87" s="138"/>
      <c r="N87" s="138">
        <f>IF($E$42="",0,ROUNDDOWN(MAX($E$40:$F$47)*$M$3/12,0)/$E$48)</f>
        <v>0</v>
      </c>
      <c r="O87" s="138"/>
      <c r="P87" s="138"/>
      <c r="Q87" s="138" t="str">
        <f>IF($AC$39=0,"軽減なし",$AC$39&amp;"割軽減")</f>
        <v>7割軽減</v>
      </c>
      <c r="R87" s="138"/>
      <c r="S87" s="138"/>
      <c r="T87" s="138">
        <f>ROUNDUP(K87*$AD$39,0)</f>
        <v>0</v>
      </c>
      <c r="U87" s="138"/>
      <c r="V87" s="138"/>
      <c r="W87" s="138">
        <f>ROUNDUP(N87*$AE$39,0)</f>
        <v>0</v>
      </c>
      <c r="X87" s="138"/>
      <c r="Y87" s="138"/>
      <c r="Z87" s="68" t="s">
        <v>0</v>
      </c>
      <c r="AA87" s="138">
        <f>SUM(K87:P87,H87)-SUM(T87:Y87)</f>
        <v>0</v>
      </c>
      <c r="AB87" s="138"/>
      <c r="AC87" s="138"/>
      <c r="AD87" s="68" t="s">
        <v>8</v>
      </c>
      <c r="AE87" s="138">
        <f>IF($E$42="",0,IF(AA87&gt;$Q$3/12*$E$42,ROUNDDOWN($Q$3/12*$E$42,0),ROUNDDOWN(AA87,-2)))</f>
        <v>0</v>
      </c>
      <c r="AF87" s="138"/>
      <c r="AG87" s="138"/>
      <c r="AH87" s="88"/>
      <c r="BN87" s="82"/>
      <c r="BO87" s="82"/>
      <c r="BP87" s="82"/>
      <c r="BQ87" s="82"/>
      <c r="BR87" s="45"/>
      <c r="BZ87" s="82"/>
      <c r="CA87" s="82"/>
      <c r="CB87" s="82"/>
      <c r="CC87" s="82"/>
    </row>
    <row r="88" spans="2:81" ht="2.25" hidden="1" customHeight="1" x14ac:dyDescent="0.15">
      <c r="D88" s="69" t="s">
        <v>2</v>
      </c>
      <c r="E88" s="138">
        <f>IF($E$42="",0,ROUNDDOWN(SUMPRODUCT($T$42,$E$42,$AC$42),0))</f>
        <v>0</v>
      </c>
      <c r="F88" s="138"/>
      <c r="G88" s="138"/>
      <c r="H88" s="138">
        <f>IF($E$42="",0,ROUNDDOWN(ROUNDDOWN(SUMPRODUCT($T$42,$E$42,$AC$42),0)*$E$4%,0))</f>
        <v>0</v>
      </c>
      <c r="I88" s="138"/>
      <c r="J88" s="138"/>
      <c r="K88" s="138">
        <f>IF($E$42="",0,IF($E$84=0,ROUNDDOWN(($E$42*$AC$42*$AE$42),0),IF($E$84=1,ROUNDDOWN(($E$42*$AI$42*$AK$42),0),"ERROR")))</f>
        <v>0</v>
      </c>
      <c r="L88" s="138"/>
      <c r="M88" s="138"/>
      <c r="N88" s="138">
        <f>IF($E$42="",0,ROUNDDOWN(MAX($E$40:$F$47)*$M$4/12,0)/$E$48)</f>
        <v>0</v>
      </c>
      <c r="O88" s="138"/>
      <c r="P88" s="138"/>
      <c r="Q88" s="138" t="str">
        <f>IF($AC$39=0,"軽減なし",$AC$39&amp;"割軽減")</f>
        <v>7割軽減</v>
      </c>
      <c r="R88" s="138"/>
      <c r="S88" s="138"/>
      <c r="T88" s="138">
        <f>ROUNDUP(K88*$AD$39,0)</f>
        <v>0</v>
      </c>
      <c r="U88" s="138"/>
      <c r="V88" s="138"/>
      <c r="W88" s="138">
        <f>ROUNDUP(N88*$AE$39,0)</f>
        <v>0</v>
      </c>
      <c r="X88" s="138"/>
      <c r="Y88" s="138"/>
      <c r="Z88" s="68" t="s">
        <v>0</v>
      </c>
      <c r="AA88" s="138">
        <f>SUM(K88:P88,H88)-SUM(T88:Y88)</f>
        <v>0</v>
      </c>
      <c r="AB88" s="138"/>
      <c r="AC88" s="138"/>
      <c r="AD88" s="68" t="s">
        <v>8</v>
      </c>
      <c r="AE88" s="138">
        <f>IF($E$42="",0,IF(AA88&gt;$Q$4/12*$E$42,ROUNDDOWN($Q$4/12*$E$42,0),ROUNDDOWN(AA88,-2)))</f>
        <v>0</v>
      </c>
      <c r="AF88" s="138"/>
      <c r="AG88" s="138"/>
      <c r="AH88" s="88"/>
      <c r="AV88" t="s">
        <v>76</v>
      </c>
    </row>
    <row r="89" spans="2:81" ht="2.25" hidden="1" customHeight="1" x14ac:dyDescent="0.15">
      <c r="D89" s="69" t="s">
        <v>3</v>
      </c>
      <c r="E89" s="138">
        <f>IF($E$42="",0,ROUNDDOWN(SUMPRODUCT($T$42,$G$42,$AC$42),0))</f>
        <v>0</v>
      </c>
      <c r="F89" s="138"/>
      <c r="G89" s="138"/>
      <c r="H89" s="138">
        <f>IF($E$42="",0,ROUNDDOWN(ROUNDDOWN(SUMPRODUCT($T$42,$G$42,$AC$42),0)*$E$5%,0))</f>
        <v>0</v>
      </c>
      <c r="I89" s="138"/>
      <c r="J89" s="138"/>
      <c r="K89" s="138">
        <f>IF($E$42="",0,IF($E$84=0,ROUNDDOWN(($G$42*$AC$42*$AF$42),0),IF($E$84=1,ROUNDDOWN(($G$42*$AI$42*$AL$42),0),"ERROR")))</f>
        <v>0</v>
      </c>
      <c r="L89" s="138"/>
      <c r="M89" s="138"/>
      <c r="N89" s="138">
        <f>IF(K89=0,0,$M$5)</f>
        <v>0</v>
      </c>
      <c r="O89" s="138"/>
      <c r="P89" s="138"/>
      <c r="Q89" s="138" t="str">
        <f>IF($AC$39=0,"軽減なし",$AC$39&amp;"割軽減")</f>
        <v>7割軽減</v>
      </c>
      <c r="R89" s="138"/>
      <c r="S89" s="138"/>
      <c r="T89" s="138">
        <f>ROUNDUP(K89*$AD$39,0)</f>
        <v>0</v>
      </c>
      <c r="U89" s="138"/>
      <c r="V89" s="138"/>
      <c r="W89" s="138">
        <f>ROUNDUP(N89*$AE$39,0)</f>
        <v>0</v>
      </c>
      <c r="X89" s="138"/>
      <c r="Y89" s="138"/>
      <c r="Z89" s="68" t="s">
        <v>0</v>
      </c>
      <c r="AA89" s="138">
        <f>SUM(K89:P89,H89)-SUM(T89:Y89)</f>
        <v>0</v>
      </c>
      <c r="AB89" s="138"/>
      <c r="AC89" s="138"/>
      <c r="AD89" s="68" t="s">
        <v>8</v>
      </c>
      <c r="AE89" s="138">
        <f>IF($E$42="",0,IF(AA89&gt;$Q$5/12*$G$42,ROUNDDOWN($Q$5/12*$G$42,0),ROUNDDOWN(AA89,-2)))</f>
        <v>0</v>
      </c>
      <c r="AF89" s="138"/>
      <c r="AG89" s="138"/>
      <c r="AH89" s="88"/>
    </row>
    <row r="90" spans="2:81" ht="2.25" hidden="1" customHeight="1" x14ac:dyDescent="0.15">
      <c r="D90" s="81" t="s">
        <v>104</v>
      </c>
      <c r="E90" s="138">
        <f>IF($E$42="",0,ROUNDDOWN(SUMPRODUCT($T$42,$E$42,$AC$42),0))</f>
        <v>0</v>
      </c>
      <c r="F90" s="138"/>
      <c r="G90" s="138"/>
      <c r="H90" s="138">
        <f>IF($E$42="",0,ROUNDDOWN(ROUNDDOWN(SUMPRODUCT($T$42,$E$42,$AC$42),0)*$E$6%,0))</f>
        <v>0</v>
      </c>
      <c r="I90" s="138"/>
      <c r="J90" s="138"/>
      <c r="K90" s="138">
        <f>IF(E42="",0,IF($E$85=0,ROUNDDOWN(SUMPRODUCT($E$42,$AC$42,$AG$42),0),IF($E$84=0,ROUNDDOWN(SUMPRODUCT($E$42,$AC$42,$AH$42),0),IF($E$84=1,ROUNDDOWN(SUMPRODUCT($E$42,$AI$42,$AN$42),0),"ERROR"))))</f>
        <v>0</v>
      </c>
      <c r="L90" s="138"/>
      <c r="M90" s="138"/>
      <c r="N90" s="138">
        <f>IF(K90=0,0,$M$6)</f>
        <v>0</v>
      </c>
      <c r="O90" s="138"/>
      <c r="P90" s="138"/>
      <c r="Q90" s="138" t="str">
        <f>IF($AC$39=0,"軽減なし",$AC$39&amp;"割軽減")</f>
        <v>7割軽減</v>
      </c>
      <c r="R90" s="138"/>
      <c r="S90" s="138"/>
      <c r="T90" s="138">
        <f>IF(E85=1,K90,ROUNDUP(K90*$AD$39,0))</f>
        <v>0</v>
      </c>
      <c r="U90" s="138"/>
      <c r="V90" s="138"/>
      <c r="W90" s="138">
        <f>ROUNDUP(N90*$AE$39,0)</f>
        <v>0</v>
      </c>
      <c r="X90" s="138"/>
      <c r="Y90" s="138"/>
      <c r="Z90" s="78" t="s">
        <v>0</v>
      </c>
      <c r="AA90" s="138">
        <f>SUM(K90:P90,H90)-SUM(T90:Y90)</f>
        <v>0</v>
      </c>
      <c r="AB90" s="138"/>
      <c r="AC90" s="138"/>
      <c r="AD90" s="78" t="s">
        <v>8</v>
      </c>
      <c r="AE90" s="138">
        <f>IF($E$42="",0,IF(AA90&gt;$Q$6/12*$E$42,ROUNDDOWN($Q$6/12*$E$42,0),ROUNDDOWN(AA90,-2)))</f>
        <v>0</v>
      </c>
      <c r="AF90" s="138"/>
      <c r="AG90" s="138"/>
      <c r="AH90" s="88"/>
      <c r="AV90" s="125" t="s">
        <v>42</v>
      </c>
      <c r="AW90" s="125"/>
      <c r="AX90" s="125"/>
      <c r="AY90" s="125"/>
      <c r="AZ90" s="127">
        <f>AZ83</f>
        <v>0</v>
      </c>
      <c r="BA90" s="125"/>
      <c r="BB90" s="125"/>
      <c r="BD90" t="s">
        <v>87</v>
      </c>
    </row>
    <row r="91" spans="2:81" ht="2.25" hidden="1" customHeight="1" x14ac:dyDescent="0.15">
      <c r="AV91" s="125" t="s">
        <v>48</v>
      </c>
      <c r="AW91" s="125"/>
      <c r="AX91" s="125"/>
      <c r="AY91" s="125"/>
      <c r="AZ91" s="126">
        <f>IF(BO83=1,BL83,IF(CA83=1,BX83,0))</f>
        <v>0</v>
      </c>
      <c r="BA91" s="126"/>
      <c r="BB91" s="126"/>
      <c r="BD91" t="s">
        <v>86</v>
      </c>
    </row>
    <row r="92" spans="2:81" ht="2.25" hidden="1" customHeight="1" x14ac:dyDescent="0.15">
      <c r="B92" s="2" t="s">
        <v>94</v>
      </c>
      <c r="D92" s="70" t="s">
        <v>91</v>
      </c>
      <c r="E92" s="57">
        <f>IF($E$25&lt;6,1,IF($E$25&gt;=6,0,"ERROR"))</f>
        <v>1</v>
      </c>
      <c r="I92" s="57"/>
      <c r="AV92" s="125" t="s">
        <v>49</v>
      </c>
      <c r="AW92" s="125"/>
      <c r="AX92" s="125"/>
      <c r="AY92" s="125"/>
      <c r="AZ92" s="127">
        <f>SUM(AZ90:BB91)+IF((AND(AZ90&gt;0,AZ91&gt;0,(AZ90+AZ91)&gt;100000)),-100000,0)</f>
        <v>0</v>
      </c>
      <c r="BA92" s="125"/>
      <c r="BB92" s="125"/>
      <c r="BD92" t="s">
        <v>70</v>
      </c>
      <c r="BR92" s="62"/>
    </row>
    <row r="93" spans="2:81" ht="2.25" hidden="1" customHeight="1" x14ac:dyDescent="0.15">
      <c r="D93" s="91" t="s">
        <v>105</v>
      </c>
      <c r="E93" s="57">
        <f>IF($E$25&lt;18,1,IF($E$25&gt;=18,0,"ERROR"))</f>
        <v>1</v>
      </c>
      <c r="I93" s="57"/>
    </row>
    <row r="94" spans="2:81" ht="2.25" hidden="1" customHeight="1" x14ac:dyDescent="0.15">
      <c r="D94" s="69"/>
      <c r="E94" s="146" t="s">
        <v>20</v>
      </c>
      <c r="F94" s="147"/>
      <c r="G94" s="147"/>
      <c r="H94" s="145" t="s">
        <v>7</v>
      </c>
      <c r="I94" s="145"/>
      <c r="J94" s="145"/>
      <c r="K94" s="145" t="s">
        <v>28</v>
      </c>
      <c r="L94" s="145"/>
      <c r="M94" s="145"/>
      <c r="N94" s="145" t="s">
        <v>29</v>
      </c>
      <c r="O94" s="145"/>
      <c r="P94" s="145"/>
      <c r="Q94" s="145" t="s">
        <v>6</v>
      </c>
      <c r="R94" s="145"/>
      <c r="S94" s="145"/>
      <c r="T94" s="144" t="s">
        <v>71</v>
      </c>
      <c r="U94" s="145"/>
      <c r="V94" s="145"/>
      <c r="W94" s="144" t="s">
        <v>72</v>
      </c>
      <c r="X94" s="145"/>
      <c r="Y94" s="145"/>
      <c r="AA94" s="145" t="s">
        <v>73</v>
      </c>
      <c r="AB94" s="145"/>
      <c r="AC94" s="145"/>
      <c r="AD94" s="69"/>
      <c r="AE94" s="145" t="s">
        <v>74</v>
      </c>
      <c r="AF94" s="145"/>
      <c r="AG94" s="145"/>
      <c r="AH94" s="90"/>
      <c r="AV94" s="125" t="s">
        <v>66</v>
      </c>
      <c r="AW94" s="125"/>
      <c r="AX94" s="125"/>
      <c r="AY94" s="125"/>
      <c r="AZ94" s="126">
        <f>MAX(IF(BO83=1,BL83,IF(CA83=1,BX83-150000,0)),0)</f>
        <v>0</v>
      </c>
      <c r="BA94" s="126"/>
      <c r="BB94" s="126"/>
    </row>
    <row r="95" spans="2:81" ht="2.25" hidden="1" customHeight="1" x14ac:dyDescent="0.15">
      <c r="D95" s="69" t="s">
        <v>1</v>
      </c>
      <c r="E95" s="138">
        <f>IF($E$43="",0,ROUNDDOWN(SUMPRODUCT($T$43,$E$43,$AC$43),0))</f>
        <v>0</v>
      </c>
      <c r="F95" s="138"/>
      <c r="G95" s="138"/>
      <c r="H95" s="138">
        <f>IF($E$43="",0,ROUNDDOWN(ROUNDDOWN(SUMPRODUCT($T$43,$E$43,$AC$43),0)*$E$3%,0))</f>
        <v>0</v>
      </c>
      <c r="I95" s="138"/>
      <c r="J95" s="138"/>
      <c r="K95" s="138">
        <f>IF($E$43="",0,IF($E$92=0,ROUNDDOWN(($E$43*$AC$43*$AD$43),0),IF($E$92=1,ROUNDDOWN(($E$43*$AI$43*$AJ$43),0),"ERROR")))</f>
        <v>0</v>
      </c>
      <c r="L95" s="138"/>
      <c r="M95" s="138"/>
      <c r="N95" s="138">
        <f>IF($E$43="",0,ROUNDDOWN(MAX($E$40:$F$47)*$M$3/12,0)/$E$48)</f>
        <v>0</v>
      </c>
      <c r="O95" s="138"/>
      <c r="P95" s="138"/>
      <c r="Q95" s="138" t="str">
        <f>IF($AC$39=0,"軽減なし",$AC$39&amp;"割軽減")</f>
        <v>7割軽減</v>
      </c>
      <c r="R95" s="138"/>
      <c r="S95" s="138"/>
      <c r="T95" s="138">
        <f>ROUNDUP(K95*$AD$39,0)</f>
        <v>0</v>
      </c>
      <c r="U95" s="138"/>
      <c r="V95" s="138"/>
      <c r="W95" s="138">
        <f>ROUNDUP(N95*$AE$39,0)</f>
        <v>0</v>
      </c>
      <c r="X95" s="138"/>
      <c r="Y95" s="138"/>
      <c r="Z95" s="68" t="s">
        <v>0</v>
      </c>
      <c r="AA95" s="138">
        <f>SUM(K95:P95,H95)-SUM(T95:Y95)</f>
        <v>0</v>
      </c>
      <c r="AB95" s="138"/>
      <c r="AC95" s="138"/>
      <c r="AD95" s="68" t="s">
        <v>8</v>
      </c>
      <c r="AE95" s="138">
        <f>IF($E$43="",0,IF(AA95&gt;$Q$3/12*$E$43,ROUNDDOWN($Q$3/12*$E$43,0),ROUNDDOWN(AA95,-2)))</f>
        <v>0</v>
      </c>
      <c r="AF95" s="138"/>
      <c r="AG95" s="138"/>
      <c r="AH95" s="88"/>
      <c r="AV95" s="61"/>
      <c r="AW95" s="61"/>
      <c r="AX95" s="61"/>
      <c r="AY95" s="61"/>
      <c r="AZ95" s="45"/>
      <c r="BA95" s="45"/>
      <c r="BB95" s="45"/>
    </row>
    <row r="96" spans="2:81" ht="2.25" hidden="1" customHeight="1" x14ac:dyDescent="0.15">
      <c r="D96" s="69" t="s">
        <v>2</v>
      </c>
      <c r="E96" s="138">
        <f>IF($E$43="",0,ROUNDDOWN(SUMPRODUCT($T$43,$E$43,$AC$43),0))</f>
        <v>0</v>
      </c>
      <c r="F96" s="138"/>
      <c r="G96" s="138"/>
      <c r="H96" s="138">
        <f>IF($E$43="",0,ROUNDDOWN(ROUNDDOWN(SUMPRODUCT($T$43,$E$43,$AC$43),0)*$E$4%,0))</f>
        <v>0</v>
      </c>
      <c r="I96" s="138"/>
      <c r="J96" s="138"/>
      <c r="K96" s="138">
        <f>IF($E$43="",0,IF($E$92=0,ROUNDDOWN(($E$43*$AC$43*$AE$43),0),IF($E$92=1,ROUNDDOWN(($E$43*$AI$43*$AK$43),0),"ERROR")))</f>
        <v>0</v>
      </c>
      <c r="L96" s="138"/>
      <c r="M96" s="138"/>
      <c r="N96" s="138">
        <f>IF($E$43="",0,ROUNDDOWN(MAX($E$40:$F$47)*$M$4/12,0)/$E$48)</f>
        <v>0</v>
      </c>
      <c r="O96" s="138"/>
      <c r="P96" s="138"/>
      <c r="Q96" s="138" t="str">
        <f>IF($AC$39=0,"軽減なし",$AC$39&amp;"割軽減")</f>
        <v>7割軽減</v>
      </c>
      <c r="R96" s="138"/>
      <c r="S96" s="138"/>
      <c r="T96" s="138">
        <f>ROUNDUP(K96*$AD$39,0)</f>
        <v>0</v>
      </c>
      <c r="U96" s="138"/>
      <c r="V96" s="138"/>
      <c r="W96" s="138">
        <f>ROUNDUP(N96*$AE$39,0)</f>
        <v>0</v>
      </c>
      <c r="X96" s="138"/>
      <c r="Y96" s="138"/>
      <c r="Z96" s="68" t="s">
        <v>0</v>
      </c>
      <c r="AA96" s="138">
        <f>SUM(K96:P96,H96)-SUM(T96:Y96)</f>
        <v>0</v>
      </c>
      <c r="AB96" s="138"/>
      <c r="AC96" s="138"/>
      <c r="AD96" s="68" t="s">
        <v>8</v>
      </c>
      <c r="AE96" s="138">
        <f>IF($E$43="",0,IF(AA96&gt;$Q$4/12*$E$43,ROUNDDOWN($Q$4/12*$E$43,0),ROUNDDOWN(AA96,-2)))</f>
        <v>0</v>
      </c>
      <c r="AF96" s="138"/>
      <c r="AG96" s="138"/>
      <c r="AH96" s="88"/>
    </row>
    <row r="97" spans="2:81" ht="2.25" hidden="1" customHeight="1" x14ac:dyDescent="0.15">
      <c r="D97" s="69" t="s">
        <v>3</v>
      </c>
      <c r="E97" s="138">
        <f>IF($E$43="",0,ROUNDDOWN(SUMPRODUCT($T$43,$G$43,$AC$43),0))</f>
        <v>0</v>
      </c>
      <c r="F97" s="138"/>
      <c r="G97" s="138"/>
      <c r="H97" s="138">
        <f>IF($E$43="",0,ROUNDDOWN(ROUNDDOWN(SUMPRODUCT($T$43,$G$43,$AC$43),0)*$E$5%,0))</f>
        <v>0</v>
      </c>
      <c r="I97" s="138"/>
      <c r="J97" s="138"/>
      <c r="K97" s="138">
        <f>IF($E$43="",0,IF($E$92=0,ROUNDDOWN(($G$43*$AC$43*$AF$43),0),IF($E$92=1,ROUNDDOWN(($G$43*$AI$43*$AL$43),0),"ERROR")))</f>
        <v>0</v>
      </c>
      <c r="L97" s="138"/>
      <c r="M97" s="138"/>
      <c r="N97" s="138">
        <f>IF(K97=0,0,$M$5)</f>
        <v>0</v>
      </c>
      <c r="O97" s="138"/>
      <c r="P97" s="138"/>
      <c r="Q97" s="138" t="str">
        <f>IF($AC$39=0,"軽減なし",$AC$39&amp;"割軽減")</f>
        <v>7割軽減</v>
      </c>
      <c r="R97" s="138"/>
      <c r="S97" s="138"/>
      <c r="T97" s="138">
        <f>ROUNDUP(K97*$AD$39,0)</f>
        <v>0</v>
      </c>
      <c r="U97" s="138"/>
      <c r="V97" s="138"/>
      <c r="W97" s="138">
        <f>ROUNDUP(N97*$AE$39,0)</f>
        <v>0</v>
      </c>
      <c r="X97" s="138"/>
      <c r="Y97" s="138"/>
      <c r="Z97" s="68" t="s">
        <v>0</v>
      </c>
      <c r="AA97" s="138">
        <f>SUM(K97:P97,H97)-SUM(T97:Y97)</f>
        <v>0</v>
      </c>
      <c r="AB97" s="138"/>
      <c r="AC97" s="138"/>
      <c r="AD97" s="68" t="s">
        <v>8</v>
      </c>
      <c r="AE97" s="138">
        <f>IF($E$43="",0,IF(AA97&gt;$Q$5/12*$G$43,ROUNDDOWN($Q$5/12*$G$43,0),ROUNDDOWN(AA97,-2)))</f>
        <v>0</v>
      </c>
      <c r="AF97" s="138"/>
      <c r="AG97" s="138"/>
      <c r="AH97" s="88"/>
    </row>
    <row r="98" spans="2:81" ht="2.25" hidden="1" customHeight="1" x14ac:dyDescent="0.15">
      <c r="D98" s="81" t="s">
        <v>104</v>
      </c>
      <c r="E98" s="138">
        <f>IF($E$43="",0,ROUNDDOWN(SUMPRODUCT($T$43,$E$43,$AC$43),0))</f>
        <v>0</v>
      </c>
      <c r="F98" s="138"/>
      <c r="G98" s="138"/>
      <c r="H98" s="138">
        <f>IF($E$43="",0,ROUNDDOWN(ROUNDDOWN(SUMPRODUCT($T$43,$E$43,$AC$43),0)*$E$6%,0))</f>
        <v>0</v>
      </c>
      <c r="I98" s="138"/>
      <c r="J98" s="138"/>
      <c r="K98" s="138">
        <f>IF(E43="",0,IF($E$93=0,ROUNDDOWN(SUMPRODUCT($E$43,$AC$43,$AG$43),0),IF($E$92=0,ROUNDDOWN(SUMPRODUCT($E$43,$AC$43,$AH$43),0),IF($E$92=1,ROUNDDOWN(SUMPRODUCT($E$43,$AI$43,$AN$43),0),"ERROR"))))</f>
        <v>0</v>
      </c>
      <c r="L98" s="138"/>
      <c r="M98" s="138"/>
      <c r="N98" s="138">
        <f>IF(K98=0,0,$M$6)</f>
        <v>0</v>
      </c>
      <c r="O98" s="138"/>
      <c r="P98" s="138"/>
      <c r="Q98" s="138" t="str">
        <f>IF($AC$39=0,"軽減なし",$AC$39&amp;"割軽減")</f>
        <v>7割軽減</v>
      </c>
      <c r="R98" s="138"/>
      <c r="S98" s="138"/>
      <c r="T98" s="138">
        <f>IF(E93=1,K98,ROUNDUP(K98*$AD$39,0))</f>
        <v>0</v>
      </c>
      <c r="U98" s="138"/>
      <c r="V98" s="138"/>
      <c r="W98" s="138">
        <f>ROUNDUP(N98*$AE$39,0)</f>
        <v>0</v>
      </c>
      <c r="X98" s="138"/>
      <c r="Y98" s="138"/>
      <c r="Z98" s="78" t="s">
        <v>0</v>
      </c>
      <c r="AA98" s="138">
        <f>SUM(K98:P98,H98)-SUM(T98:Y98)</f>
        <v>0</v>
      </c>
      <c r="AB98" s="138"/>
      <c r="AC98" s="138"/>
      <c r="AD98" s="78" t="s">
        <v>8</v>
      </c>
      <c r="AE98" s="138">
        <f>IF($E$43="",0,IF(AA98&gt;$Q$6/12*$E$43,ROUNDDOWN($Q$6/12*$E$43,0),ROUNDDOWN(AA98,-2)))</f>
        <v>0</v>
      </c>
      <c r="AF98" s="138"/>
      <c r="AG98" s="138"/>
      <c r="AH98" s="88"/>
      <c r="AU98" s="133" t="s">
        <v>36</v>
      </c>
      <c r="AV98" s="134"/>
      <c r="AW98" s="134"/>
      <c r="AX98" s="134"/>
      <c r="AY98" s="134"/>
      <c r="AZ98" s="134"/>
      <c r="BA98" s="134"/>
      <c r="BB98" s="134"/>
      <c r="BC98" s="134"/>
      <c r="BD98" s="134"/>
      <c r="BE98" s="135"/>
      <c r="BG98" s="46"/>
      <c r="BH98" s="133" t="s">
        <v>47</v>
      </c>
      <c r="BI98" s="134"/>
      <c r="BJ98" s="134"/>
      <c r="BK98" s="134"/>
      <c r="BL98" s="134"/>
      <c r="BM98" s="134"/>
      <c r="BN98" s="134"/>
      <c r="BO98" s="134"/>
      <c r="BP98" s="134"/>
      <c r="BQ98" s="135"/>
      <c r="BR98" s="61"/>
      <c r="BS98" s="46"/>
      <c r="BT98" s="133" t="s">
        <v>46</v>
      </c>
      <c r="BU98" s="134"/>
      <c r="BV98" s="134"/>
      <c r="BW98" s="134"/>
      <c r="BX98" s="134"/>
      <c r="BY98" s="134"/>
      <c r="BZ98" s="134"/>
      <c r="CA98" s="134"/>
      <c r="CB98" s="134"/>
      <c r="CC98" s="135"/>
    </row>
    <row r="99" spans="2:81" ht="2.25" hidden="1" customHeight="1" x14ac:dyDescent="0.15">
      <c r="D99" s="81"/>
      <c r="AU99" s="136"/>
      <c r="AV99" s="131" t="s">
        <v>38</v>
      </c>
      <c r="AW99" s="131"/>
      <c r="AX99" s="131"/>
      <c r="AY99" s="131"/>
      <c r="AZ99" s="131"/>
      <c r="BA99" s="131"/>
      <c r="BB99" s="131"/>
      <c r="BC99" s="131" t="s">
        <v>39</v>
      </c>
      <c r="BD99" s="131"/>
      <c r="BE99" s="131"/>
      <c r="BG99" s="136"/>
      <c r="BH99" s="131" t="s">
        <v>38</v>
      </c>
      <c r="BI99" s="131"/>
      <c r="BJ99" s="131"/>
      <c r="BK99" s="131"/>
      <c r="BL99" s="131"/>
      <c r="BM99" s="131"/>
      <c r="BN99" s="131"/>
      <c r="BO99" s="131" t="s">
        <v>39</v>
      </c>
      <c r="BP99" s="131"/>
      <c r="BQ99" s="131"/>
      <c r="BR99" s="43"/>
      <c r="BS99" s="136"/>
      <c r="BT99" s="131" t="s">
        <v>38</v>
      </c>
      <c r="BU99" s="131"/>
      <c r="BV99" s="131"/>
      <c r="BW99" s="131"/>
      <c r="BX99" s="131"/>
      <c r="BY99" s="131"/>
      <c r="BZ99" s="131"/>
      <c r="CA99" s="131" t="s">
        <v>39</v>
      </c>
      <c r="CB99" s="131"/>
      <c r="CC99" s="131"/>
    </row>
    <row r="100" spans="2:81" ht="2.25" hidden="1" customHeight="1" x14ac:dyDescent="0.15">
      <c r="B100" s="2" t="s">
        <v>95</v>
      </c>
      <c r="D100" s="70" t="s">
        <v>91</v>
      </c>
      <c r="E100" s="57">
        <f>IF($E$26&lt;6,1,IF($E$26&gt;=6,0,"ERROR"))</f>
        <v>1</v>
      </c>
      <c r="I100" s="57"/>
      <c r="AU100" s="137"/>
      <c r="AV100" s="132"/>
      <c r="AW100" s="132"/>
      <c r="AX100" s="132"/>
      <c r="AY100" s="132"/>
      <c r="AZ100" s="132"/>
      <c r="BA100" s="132"/>
      <c r="BB100" s="132"/>
      <c r="BC100" s="132"/>
      <c r="BD100" s="132"/>
      <c r="BE100" s="132"/>
      <c r="BG100" s="137"/>
      <c r="BH100" s="132"/>
      <c r="BI100" s="132"/>
      <c r="BJ100" s="132"/>
      <c r="BK100" s="132"/>
      <c r="BL100" s="132"/>
      <c r="BM100" s="132"/>
      <c r="BN100" s="132"/>
      <c r="BO100" s="132"/>
      <c r="BP100" s="132"/>
      <c r="BQ100" s="132"/>
      <c r="BR100" s="69"/>
      <c r="BS100" s="137"/>
      <c r="BT100" s="132"/>
      <c r="BU100" s="132"/>
      <c r="BV100" s="132"/>
      <c r="BW100" s="132"/>
      <c r="BX100" s="132"/>
      <c r="BY100" s="132"/>
      <c r="BZ100" s="132"/>
      <c r="CA100" s="132"/>
      <c r="CB100" s="132"/>
      <c r="CC100" s="132"/>
    </row>
    <row r="101" spans="2:81" ht="2.25" hidden="1" customHeight="1" x14ac:dyDescent="0.15">
      <c r="D101" s="91" t="s">
        <v>105</v>
      </c>
      <c r="E101" s="57">
        <f>IF($E$26&lt;18,1,IF($E$26&gt;=18,0,"ERROR"))</f>
        <v>1</v>
      </c>
      <c r="I101" s="57"/>
      <c r="AU101" s="36">
        <f t="shared" ref="AU101:AU105" si="23">IF(AND($AZ$113&gt;=AV101,$AZ$113&lt;=AZ101),1,0)</f>
        <v>1</v>
      </c>
      <c r="AV101" s="129">
        <v>0</v>
      </c>
      <c r="AW101" s="129"/>
      <c r="AX101" s="129"/>
      <c r="AY101" s="89" t="s">
        <v>37</v>
      </c>
      <c r="AZ101" s="129">
        <v>650999</v>
      </c>
      <c r="BA101" s="129"/>
      <c r="BB101" s="129"/>
      <c r="BC101" s="130">
        <f>IF(AU101=1,0,0)</f>
        <v>0</v>
      </c>
      <c r="BD101" s="130"/>
      <c r="BE101" s="130"/>
      <c r="BG101" s="36">
        <f>IF(AND($BL$113&gt;=BH101,$BL$113&lt;=BL101,$BN$119&lt;=10000000),1,(IF(AND($BL$113&gt;=BH101,$BL$113&lt;=BL101,$BN$119&gt;10000000,$BN$119&lt;=20000000),2,(IF(AND($BL$113&gt;=BH101,$BL$113&lt;=BL101,$BN$119&gt;20000000),3,0)))))</f>
        <v>1</v>
      </c>
      <c r="BH101" s="129">
        <v>0</v>
      </c>
      <c r="BI101" s="129"/>
      <c r="BJ101" s="129"/>
      <c r="BK101" s="71" t="s">
        <v>37</v>
      </c>
      <c r="BL101" s="129">
        <v>1299999</v>
      </c>
      <c r="BM101" s="129"/>
      <c r="BN101" s="129"/>
      <c r="BO101" s="130">
        <f>MAX(IF(BG101=1,BL113-600000,IF(BG101=2,BL113-500000,IF(BG101=3,BL113-400000,0))),)</f>
        <v>0</v>
      </c>
      <c r="BP101" s="130"/>
      <c r="BQ101" s="130"/>
      <c r="BR101" s="44"/>
      <c r="BS101" s="36">
        <f>IF(AND($BX$113&gt;=BT101,$BX$113&lt;=BX101,$BZ$119&lt;=10000000),1,(IF(AND($BX$113&gt;=BT101,$BX$113&lt;=BX101,$BZ$119&gt;10000000,$BZ$119&lt;=20000000),2,(IF(AND($BX$113&gt;=BT101,$BX$113&lt;=BX101,$BZ$119&gt;20000000),3,0)))))</f>
        <v>1</v>
      </c>
      <c r="BT101" s="129">
        <v>0</v>
      </c>
      <c r="BU101" s="129"/>
      <c r="BV101" s="129"/>
      <c r="BW101" s="71" t="s">
        <v>37</v>
      </c>
      <c r="BX101" s="129">
        <v>3299999</v>
      </c>
      <c r="BY101" s="129"/>
      <c r="BZ101" s="129"/>
      <c r="CA101" s="130">
        <f>MAX(IF(BS101=1,BX113-1100000,IF(BS101=2,BX113-1000000,IF(BS101=3,BX113-900000,0))),)</f>
        <v>0</v>
      </c>
      <c r="CB101" s="130"/>
      <c r="CC101" s="130"/>
    </row>
    <row r="102" spans="2:81" ht="2.25" hidden="1" customHeight="1" x14ac:dyDescent="0.15">
      <c r="D102" s="69"/>
      <c r="E102" s="146" t="s">
        <v>20</v>
      </c>
      <c r="F102" s="147"/>
      <c r="G102" s="147"/>
      <c r="H102" s="145" t="s">
        <v>7</v>
      </c>
      <c r="I102" s="145"/>
      <c r="J102" s="145"/>
      <c r="K102" s="145" t="s">
        <v>28</v>
      </c>
      <c r="L102" s="145"/>
      <c r="M102" s="145"/>
      <c r="N102" s="145" t="s">
        <v>29</v>
      </c>
      <c r="O102" s="145"/>
      <c r="P102" s="145"/>
      <c r="Q102" s="145" t="s">
        <v>6</v>
      </c>
      <c r="R102" s="145"/>
      <c r="S102" s="145"/>
      <c r="T102" s="144" t="s">
        <v>71</v>
      </c>
      <c r="U102" s="145"/>
      <c r="V102" s="145"/>
      <c r="W102" s="144" t="s">
        <v>72</v>
      </c>
      <c r="X102" s="145"/>
      <c r="Y102" s="145"/>
      <c r="AA102" s="145" t="s">
        <v>73</v>
      </c>
      <c r="AB102" s="145"/>
      <c r="AC102" s="145"/>
      <c r="AD102" s="69"/>
      <c r="AE102" s="145" t="s">
        <v>74</v>
      </c>
      <c r="AF102" s="145"/>
      <c r="AG102" s="145"/>
      <c r="AH102" s="90"/>
      <c r="AU102" s="36">
        <f t="shared" si="23"/>
        <v>0</v>
      </c>
      <c r="AV102" s="129">
        <v>651000</v>
      </c>
      <c r="AW102" s="129"/>
      <c r="AX102" s="129"/>
      <c r="AY102" s="89" t="s">
        <v>37</v>
      </c>
      <c r="AZ102" s="129">
        <v>1900000</v>
      </c>
      <c r="BA102" s="129"/>
      <c r="BB102" s="129"/>
      <c r="BC102" s="130">
        <f>IF(AU102=1,AZ113-650000,0)</f>
        <v>0</v>
      </c>
      <c r="BD102" s="130"/>
      <c r="BE102" s="130"/>
      <c r="BG102" s="36">
        <f>IF(AND($BL$113&gt;=BH102,$BL$113&lt;=BL102,$BN$119&lt;=10000000),1,(IF(AND($BL$113&gt;=BH102,$BL$113&lt;=BL102,$BN$119&gt;10000000,$BN$119&lt;=20000000),2,(IF(AND($BL$113&gt;=BH102,$BL$113&lt;=BL102,$BN$119&gt;20000000),3,0)))))</f>
        <v>0</v>
      </c>
      <c r="BH102" s="129">
        <v>1300000</v>
      </c>
      <c r="BI102" s="129"/>
      <c r="BJ102" s="129"/>
      <c r="BK102" s="71" t="s">
        <v>37</v>
      </c>
      <c r="BL102" s="129">
        <v>4099999</v>
      </c>
      <c r="BM102" s="129"/>
      <c r="BN102" s="129"/>
      <c r="BO102" s="130">
        <f>IF(BG102=1,BL113*0.75-275000,IF(BG102=2,BL113*0.75-175000,IF(BG102=3,BL113*0.75-75000,0)))</f>
        <v>0</v>
      </c>
      <c r="BP102" s="130"/>
      <c r="BQ102" s="130"/>
      <c r="BR102" s="44"/>
      <c r="BS102" s="36">
        <f>IF(AND($BX$113&gt;=BT102,$BX$113&lt;=BX102,$BZ$119&lt;=10000000),1,(IF(AND($BX$113&gt;=BT102,$BX$113&lt;=BX102,$BZ$119&gt;10000000,$BZ$119&lt;=20000000),2,(IF(AND($BX$113&gt;=BT102,$BX$113&lt;=BX102,$BZ$119&gt;20000000),3,0)))))</f>
        <v>0</v>
      </c>
      <c r="BT102" s="129">
        <v>3300000</v>
      </c>
      <c r="BU102" s="129"/>
      <c r="BV102" s="129"/>
      <c r="BW102" s="71" t="s">
        <v>37</v>
      </c>
      <c r="BX102" s="129">
        <v>4099999</v>
      </c>
      <c r="BY102" s="129"/>
      <c r="BZ102" s="129"/>
      <c r="CA102" s="130">
        <f>IF(BS102=1,BX113*0.75-275000,IF(BS102=2,BX113*0.75-175000,IF(BS102=3,BX113*0.75-75000,0)))</f>
        <v>0</v>
      </c>
      <c r="CB102" s="130"/>
      <c r="CC102" s="130"/>
    </row>
    <row r="103" spans="2:81" ht="2.25" hidden="1" customHeight="1" x14ac:dyDescent="0.15">
      <c r="D103" s="69" t="s">
        <v>1</v>
      </c>
      <c r="E103" s="138">
        <f>IF($E$44="",0,ROUNDDOWN(SUMPRODUCT($T$44,$E$44,$AC$44),0))</f>
        <v>0</v>
      </c>
      <c r="F103" s="138"/>
      <c r="G103" s="138"/>
      <c r="H103" s="138">
        <f>IF($E$44="",0,ROUNDDOWN(ROUNDDOWN(SUMPRODUCT($T$44,$E$44,$AC$44),0)*$E$3%,0))</f>
        <v>0</v>
      </c>
      <c r="I103" s="138"/>
      <c r="J103" s="138"/>
      <c r="K103" s="138">
        <f>IF($E$44="",0,IF($E$100=0,ROUNDDOWN(($E$44*$AC$44*$AD$44),0),IF($E$100=1,ROUNDDOWN(($E$44*$AI$44*$AJ$44),0),"ERROR")))</f>
        <v>0</v>
      </c>
      <c r="L103" s="138"/>
      <c r="M103" s="138"/>
      <c r="N103" s="138">
        <f>IF($E$44="",0,ROUNDDOWN(MAX($E$40:$F$47)*$M$3/12,0)/$E$48)</f>
        <v>0</v>
      </c>
      <c r="O103" s="138"/>
      <c r="P103" s="138"/>
      <c r="Q103" s="138" t="str">
        <f>IF($AC$39=0,"軽減なし",$AC$39&amp;"割軽減")</f>
        <v>7割軽減</v>
      </c>
      <c r="R103" s="138"/>
      <c r="S103" s="138"/>
      <c r="T103" s="138">
        <f>ROUNDUP(K103*$AD$39,0)</f>
        <v>0</v>
      </c>
      <c r="U103" s="138"/>
      <c r="V103" s="138"/>
      <c r="W103" s="138">
        <f>ROUNDUP(N103*$AE$39,0)</f>
        <v>0</v>
      </c>
      <c r="X103" s="138"/>
      <c r="Y103" s="138"/>
      <c r="Z103" s="68" t="s">
        <v>0</v>
      </c>
      <c r="AA103" s="138">
        <f>SUM(K103:P103,H103)-SUM(T103:Y103)</f>
        <v>0</v>
      </c>
      <c r="AB103" s="138"/>
      <c r="AC103" s="138"/>
      <c r="AD103" s="68" t="s">
        <v>8</v>
      </c>
      <c r="AE103" s="138">
        <f>IF($E$44="",0,IF(AA103&gt;$Q$3/12*$E$44,ROUNDDOWN($Q$3/12*$E$44,0),ROUNDDOWN(AA103,-2)))</f>
        <v>0</v>
      </c>
      <c r="AF103" s="138"/>
      <c r="AG103" s="138"/>
      <c r="AH103" s="88"/>
      <c r="AU103" s="36">
        <f t="shared" si="23"/>
        <v>0</v>
      </c>
      <c r="AV103" s="129">
        <v>1900001</v>
      </c>
      <c r="AW103" s="129"/>
      <c r="AX103" s="129"/>
      <c r="AY103" s="93" t="s">
        <v>37</v>
      </c>
      <c r="AZ103" s="129">
        <v>3599999</v>
      </c>
      <c r="BA103" s="129"/>
      <c r="BB103" s="129"/>
      <c r="BC103" s="130">
        <f>IF(AU103=1,ROUNDDOWN(AZ113/4,-3)*2.8-80000,0)</f>
        <v>0</v>
      </c>
      <c r="BD103" s="130"/>
      <c r="BE103" s="130"/>
      <c r="BG103" s="36">
        <f>IF(AND($BL$113&gt;=BH103,$BL$113&lt;=BL103,$BN$119&lt;=10000000),1,(IF(AND($BL$113&gt;=BH103,$BL$113&lt;=BL103,$BN$119&gt;10000000,$BN$119&lt;=20000000),2,(IF(AND($BL$113&gt;=BH103,$BL$113&lt;=BL103,$BN$119&gt;20000000),3,0)))))</f>
        <v>0</v>
      </c>
      <c r="BH103" s="129">
        <v>4100000</v>
      </c>
      <c r="BI103" s="129"/>
      <c r="BJ103" s="129"/>
      <c r="BK103" s="71" t="s">
        <v>37</v>
      </c>
      <c r="BL103" s="129">
        <v>7699999</v>
      </c>
      <c r="BM103" s="129"/>
      <c r="BN103" s="129"/>
      <c r="BO103" s="130">
        <f>IF(BG103=1,BL113*0.85-685000,IF(BG103=2,BL113*0.85-585000,IF(BG103=3,BL113*0.85-485000,0)))</f>
        <v>0</v>
      </c>
      <c r="BP103" s="130"/>
      <c r="BQ103" s="130"/>
      <c r="BR103" s="44"/>
      <c r="BS103" s="36">
        <f>IF(AND($BX$113&gt;=BT103,$BX$113&lt;=BX103,$BZ$119&lt;=10000000),1,(IF(AND($BX$113&gt;=BT103,$BX$113&lt;=BX103,$BZ$119&gt;10000000,$BZ$119&lt;=20000000),2,(IF(AND($BX$113&gt;=BT103,$BX$113&lt;=BX103,$BZ$119&gt;20000000),3,0)))))</f>
        <v>0</v>
      </c>
      <c r="BT103" s="129">
        <v>4100000</v>
      </c>
      <c r="BU103" s="129"/>
      <c r="BV103" s="129"/>
      <c r="BW103" s="71" t="s">
        <v>37</v>
      </c>
      <c r="BX103" s="129">
        <v>7699999</v>
      </c>
      <c r="BY103" s="129"/>
      <c r="BZ103" s="129"/>
      <c r="CA103" s="130">
        <f>IF(BS103=1,BX113*0.85-685000,IF(BS103=2,BX113*0.85-585000,IF(BS103=3,BX113*0.85-485000,0)))</f>
        <v>0</v>
      </c>
      <c r="CB103" s="130"/>
      <c r="CC103" s="130"/>
    </row>
    <row r="104" spans="2:81" ht="2.25" hidden="1" customHeight="1" x14ac:dyDescent="0.15">
      <c r="D104" s="69" t="s">
        <v>2</v>
      </c>
      <c r="E104" s="138">
        <f>IF($E$44="",0,ROUNDDOWN(SUMPRODUCT($T$44,$E$44,$AC$44),0))</f>
        <v>0</v>
      </c>
      <c r="F104" s="138"/>
      <c r="G104" s="138"/>
      <c r="H104" s="138">
        <f>IF($E$44="",0,ROUNDDOWN(ROUNDDOWN(SUMPRODUCT($T$44,$E$44,$AC$44),0)*$E$4%,0))</f>
        <v>0</v>
      </c>
      <c r="I104" s="138"/>
      <c r="J104" s="138"/>
      <c r="K104" s="138">
        <f>IF($E$44="",0,IF($E$100=0,ROUNDDOWN(($E$44*$AC$44*$AE$44),0),IF($E$100=1,ROUNDDOWN(($E$44*$AI$44*$AK$44),0),"ERROR")))</f>
        <v>0</v>
      </c>
      <c r="L104" s="138"/>
      <c r="M104" s="138"/>
      <c r="N104" s="138">
        <f>IF($E$44="",0,ROUNDDOWN(MAX($E$40:$F$47)*$M$4/12,0)/$E$48)</f>
        <v>0</v>
      </c>
      <c r="O104" s="138"/>
      <c r="P104" s="138"/>
      <c r="Q104" s="138" t="str">
        <f>IF($AC$39=0,"軽減なし",$AC$39&amp;"割軽減")</f>
        <v>7割軽減</v>
      </c>
      <c r="R104" s="138"/>
      <c r="S104" s="138"/>
      <c r="T104" s="138">
        <f>ROUNDUP(K104*$AD$39,0)</f>
        <v>0</v>
      </c>
      <c r="U104" s="138"/>
      <c r="V104" s="138"/>
      <c r="W104" s="138">
        <f>ROUNDUP(N104*$AE$39,0)</f>
        <v>0</v>
      </c>
      <c r="X104" s="138"/>
      <c r="Y104" s="138"/>
      <c r="Z104" s="68" t="s">
        <v>0</v>
      </c>
      <c r="AA104" s="138">
        <f>SUM(K104:P104,H104)-SUM(T104:Y104)</f>
        <v>0</v>
      </c>
      <c r="AB104" s="138"/>
      <c r="AC104" s="138"/>
      <c r="AD104" s="68" t="s">
        <v>8</v>
      </c>
      <c r="AE104" s="138">
        <f>IF($E$44="",0,IF(AA104&gt;$Q$4/12*$E$44,ROUNDDOWN($Q$4/12*$E$44,0),ROUNDDOWN(AA104,-2)))</f>
        <v>0</v>
      </c>
      <c r="AF104" s="138"/>
      <c r="AG104" s="138"/>
      <c r="AH104" s="88"/>
      <c r="AU104" s="36">
        <f t="shared" si="23"/>
        <v>0</v>
      </c>
      <c r="AV104" s="129">
        <v>3600000</v>
      </c>
      <c r="AW104" s="129"/>
      <c r="AX104" s="129"/>
      <c r="AY104" s="93" t="s">
        <v>37</v>
      </c>
      <c r="AZ104" s="129">
        <v>6599999</v>
      </c>
      <c r="BA104" s="129"/>
      <c r="BB104" s="129"/>
      <c r="BC104" s="130">
        <f>IF(AU104=1,ROUNDDOWN(AZ113/4,-3)*3.2-440000,0)</f>
        <v>0</v>
      </c>
      <c r="BD104" s="130"/>
      <c r="BE104" s="130"/>
      <c r="BG104" s="36">
        <f>IF(AND($BL$113&gt;=BH104,$BL$113&lt;=BL104,$BN$119&lt;=10000000),1,(IF(AND($BL$113&gt;=BH104,$BL$113&lt;=BL104,$BN$119&gt;10000000,$BN$119&lt;=20000000),2,(IF(AND($BL$113&gt;=BH104,$BL$113&lt;=BL104,$BN$119&gt;20000000),3,0)))))</f>
        <v>0</v>
      </c>
      <c r="BH104" s="129">
        <v>7700000</v>
      </c>
      <c r="BI104" s="129"/>
      <c r="BJ104" s="129"/>
      <c r="BK104" s="71" t="s">
        <v>37</v>
      </c>
      <c r="BL104" s="129">
        <v>9999999</v>
      </c>
      <c r="BM104" s="129"/>
      <c r="BN104" s="129"/>
      <c r="BO104" s="130">
        <f>IF(BG104=1,BL113*0.95-1455000,IF(BG104=2,BL113*0.95-1355000,IF(BG104=3,BL113*0.95-1255000,0)))</f>
        <v>0</v>
      </c>
      <c r="BP104" s="130"/>
      <c r="BQ104" s="130"/>
      <c r="BR104" s="44"/>
      <c r="BS104" s="36">
        <f>IF(AND($BX$113&gt;=BT104,$BX$113&lt;=BX104,$BZ$119&lt;=10000000),1,(IF(AND($BX$113&gt;=BT104,$BX$113&lt;=BX104,$BZ$119&gt;10000000,$BZ$119&lt;=20000000),2,(IF(AND($BX$113&gt;=BT104,$BX$113&lt;=BX104,$BZ$119&gt;20000000),3,0)))))</f>
        <v>0</v>
      </c>
      <c r="BT104" s="129">
        <v>7700000</v>
      </c>
      <c r="BU104" s="129"/>
      <c r="BV104" s="129"/>
      <c r="BW104" s="71" t="s">
        <v>37</v>
      </c>
      <c r="BX104" s="129">
        <v>9999999</v>
      </c>
      <c r="BY104" s="129"/>
      <c r="BZ104" s="129"/>
      <c r="CA104" s="130">
        <f>IF(BS104=1,BX113*0.95-1455000,IF(BS104=2,BX113*0.95-1355000,IF(BS104=3,BX113*0.95-1255000,0)))</f>
        <v>0</v>
      </c>
      <c r="CB104" s="130"/>
      <c r="CC104" s="130"/>
    </row>
    <row r="105" spans="2:81" ht="2.25" hidden="1" customHeight="1" x14ac:dyDescent="0.15">
      <c r="D105" s="69" t="s">
        <v>3</v>
      </c>
      <c r="E105" s="138">
        <f>IF($E$44="",0,ROUNDDOWN(SUMPRODUCT($T$44,$G$44,$AC$44),0))</f>
        <v>0</v>
      </c>
      <c r="F105" s="138"/>
      <c r="G105" s="138"/>
      <c r="H105" s="138">
        <f>IF($E$44="",0,ROUNDDOWN(ROUNDDOWN(SUMPRODUCT($T$44,$G$44,$AC$44),0)*$E$5%,0))</f>
        <v>0</v>
      </c>
      <c r="I105" s="138"/>
      <c r="J105" s="138"/>
      <c r="K105" s="138">
        <f>IF($E$44="",0,IF($E$100=0,ROUNDDOWN(($G$44*$AC$44*$AF$44),0),IF($E$100=1,ROUNDDOWN(($G$44*$AI$44*$AL$44),0),"ERROR")))</f>
        <v>0</v>
      </c>
      <c r="L105" s="138"/>
      <c r="M105" s="138"/>
      <c r="N105" s="138">
        <f>IF(K105=0,0,$M$5)</f>
        <v>0</v>
      </c>
      <c r="O105" s="138"/>
      <c r="P105" s="138"/>
      <c r="Q105" s="138" t="str">
        <f>IF($AC$39=0,"軽減なし",$AC$39&amp;"割軽減")</f>
        <v>7割軽減</v>
      </c>
      <c r="R105" s="138"/>
      <c r="S105" s="138"/>
      <c r="T105" s="138">
        <f>ROUNDUP(K105*$AD$39,0)</f>
        <v>0</v>
      </c>
      <c r="U105" s="138"/>
      <c r="V105" s="138"/>
      <c r="W105" s="138">
        <f>ROUNDUP(N105*$AE$39,0)</f>
        <v>0</v>
      </c>
      <c r="X105" s="138"/>
      <c r="Y105" s="138"/>
      <c r="Z105" s="68" t="s">
        <v>0</v>
      </c>
      <c r="AA105" s="138">
        <f>SUM(K105:P105,H105)-SUM(T105:Y105)</f>
        <v>0</v>
      </c>
      <c r="AB105" s="138"/>
      <c r="AC105" s="138"/>
      <c r="AD105" s="68" t="s">
        <v>8</v>
      </c>
      <c r="AE105" s="138">
        <f>IF($E$44="",0,IF(AA105&gt;$Q$5/12*$G$44,ROUNDDOWN($Q$5/12*$G$44,0),ROUNDDOWN(AA105,-2)))</f>
        <v>0</v>
      </c>
      <c r="AF105" s="138"/>
      <c r="AG105" s="138"/>
      <c r="AH105" s="88"/>
      <c r="AU105" s="36">
        <f t="shared" si="23"/>
        <v>0</v>
      </c>
      <c r="AV105" s="129">
        <v>6600000</v>
      </c>
      <c r="AW105" s="129"/>
      <c r="AX105" s="129"/>
      <c r="AY105" s="93" t="s">
        <v>37</v>
      </c>
      <c r="AZ105" s="129">
        <v>8499999</v>
      </c>
      <c r="BA105" s="129"/>
      <c r="BB105" s="129"/>
      <c r="BC105" s="130">
        <f>IF(AU105=1,AZ113*0.9-1100000,0)</f>
        <v>0</v>
      </c>
      <c r="BD105" s="130"/>
      <c r="BE105" s="130"/>
      <c r="BG105" s="36">
        <f>IF(AND($BL$113&gt;=BH105,$BN$119&lt;=10000000),1,(IF(AND($BL$113&gt;=BH105,$BN$119&gt;10000000,$BN$119&lt;=20000000),2,(IF(AND($BL$113&gt;=BH105,$BN$119&gt;20000000),3,0)))))</f>
        <v>0</v>
      </c>
      <c r="BH105" s="129">
        <v>10000000</v>
      </c>
      <c r="BI105" s="129"/>
      <c r="BJ105" s="129"/>
      <c r="BK105" s="71" t="s">
        <v>37</v>
      </c>
      <c r="BL105" s="129"/>
      <c r="BM105" s="129"/>
      <c r="BN105" s="129"/>
      <c r="BO105" s="130">
        <f>IF(BG105=1,BL113-1955000,IF(BG105=2,BL113-1855000,IF(BG105=3,BL113-1755000,0)))</f>
        <v>0</v>
      </c>
      <c r="BP105" s="130"/>
      <c r="BQ105" s="130"/>
      <c r="BR105" s="44"/>
      <c r="BS105" s="36">
        <f>IF(AND($BX$113&gt;=BT105,$BZ$119&lt;=10000000),1,(IF(AND($BX$113&gt;=BT105,$BZ$119&gt;10000000,$BZ$119&lt;=20000000),2,(IF(AND($BX$113&gt;=BT105,$BZ$119&gt;20000000),3,0)))))</f>
        <v>0</v>
      </c>
      <c r="BT105" s="129">
        <v>10000000</v>
      </c>
      <c r="BU105" s="129"/>
      <c r="BV105" s="129"/>
      <c r="BW105" s="71" t="s">
        <v>37</v>
      </c>
      <c r="BX105" s="129"/>
      <c r="BY105" s="129"/>
      <c r="BZ105" s="129"/>
      <c r="CA105" s="130">
        <f>IF(BS105=1,BX113-1955000,IF(BS105=2,BX113-1855000,IF(BS105=3,BX113-1755000,0)))</f>
        <v>0</v>
      </c>
      <c r="CB105" s="130"/>
      <c r="CC105" s="130"/>
    </row>
    <row r="106" spans="2:81" ht="2.25" hidden="1" customHeight="1" x14ac:dyDescent="0.15">
      <c r="D106" s="81" t="s">
        <v>104</v>
      </c>
      <c r="E106" s="138">
        <f>IF($E$44="",0,ROUNDDOWN(SUMPRODUCT($T$44,$G$44,$AC$44),0))</f>
        <v>0</v>
      </c>
      <c r="F106" s="138"/>
      <c r="G106" s="138"/>
      <c r="H106" s="138">
        <f>IF($E$44="",0,ROUNDDOWN(ROUNDDOWN(SUMPRODUCT($T$44,$G$44,$AC$44),0)*$E$5%,0))</f>
        <v>0</v>
      </c>
      <c r="I106" s="138"/>
      <c r="J106" s="138"/>
      <c r="K106" s="138">
        <f>IF(E44="",0,IF($E$101=0,ROUNDDOWN(SUMPRODUCT($E$44,$AC$44,$AG$44),0),IF($E$100=0,ROUNDDOWN(SUMPRODUCT($E$44,$AC$44,$AH$44),0),IF($E$100=1,ROUNDDOWN(SUMPRODUCT($E$44,$AI$44,$AN$44),0),"ERROR"))))</f>
        <v>0</v>
      </c>
      <c r="L106" s="138"/>
      <c r="M106" s="138"/>
      <c r="N106" s="138">
        <f>IF(K106=0,0,$M$5)</f>
        <v>0</v>
      </c>
      <c r="O106" s="138"/>
      <c r="P106" s="138"/>
      <c r="Q106" s="138" t="str">
        <f>IF($AC$39=0,"軽減なし",$AC$39&amp;"割軽減")</f>
        <v>7割軽減</v>
      </c>
      <c r="R106" s="138"/>
      <c r="S106" s="138"/>
      <c r="T106" s="138">
        <f>IF(E101=1,K106,ROUNDUP(K106*$AD$39,0))</f>
        <v>0</v>
      </c>
      <c r="U106" s="138"/>
      <c r="V106" s="138"/>
      <c r="W106" s="138">
        <f>ROUNDUP(N106*$AE$39,0)</f>
        <v>0</v>
      </c>
      <c r="X106" s="138"/>
      <c r="Y106" s="138"/>
      <c r="Z106" s="78" t="s">
        <v>0</v>
      </c>
      <c r="AA106" s="138">
        <f>SUM(K106:P106,H106)-SUM(T106:Y106)</f>
        <v>0</v>
      </c>
      <c r="AB106" s="138"/>
      <c r="AC106" s="138"/>
      <c r="AD106" s="78" t="s">
        <v>8</v>
      </c>
      <c r="AE106" s="138">
        <f>IF($E$44="",0,IF(AA106&gt;$Q$6/12*$E$44,ROUNDDOWN($Q$6/12*$E$44,0),ROUNDDOWN(AA106,-2)))</f>
        <v>0</v>
      </c>
      <c r="AF106" s="138"/>
      <c r="AG106" s="138"/>
      <c r="AH106" s="88"/>
      <c r="AU106" s="36">
        <f>IF($AZ$113&gt;=AV106,1,0)</f>
        <v>0</v>
      </c>
      <c r="AV106" s="129">
        <v>8500000</v>
      </c>
      <c r="AW106" s="129"/>
      <c r="AX106" s="129"/>
      <c r="AY106" s="93" t="s">
        <v>37</v>
      </c>
      <c r="AZ106" s="129"/>
      <c r="BA106" s="129"/>
      <c r="BB106" s="129"/>
      <c r="BC106" s="130">
        <f>IF(AU106=1,AZ113-1950000,0)</f>
        <v>0</v>
      </c>
      <c r="BD106" s="130"/>
      <c r="BE106" s="130"/>
      <c r="BG106" s="36"/>
      <c r="BH106" s="129"/>
      <c r="BI106" s="129"/>
      <c r="BJ106" s="129"/>
      <c r="BK106" s="71" t="s">
        <v>37</v>
      </c>
      <c r="BL106" s="129"/>
      <c r="BM106" s="129"/>
      <c r="BN106" s="129"/>
      <c r="BO106" s="130"/>
      <c r="BP106" s="130"/>
      <c r="BQ106" s="130"/>
      <c r="BR106" s="44"/>
      <c r="BS106" s="36"/>
      <c r="BT106" s="129"/>
      <c r="BU106" s="129"/>
      <c r="BV106" s="129"/>
      <c r="BW106" s="71" t="s">
        <v>37</v>
      </c>
      <c r="BX106" s="129"/>
      <c r="BY106" s="129"/>
      <c r="BZ106" s="129"/>
      <c r="CA106" s="130"/>
      <c r="CB106" s="130"/>
      <c r="CC106" s="130"/>
    </row>
    <row r="107" spans="2:81" ht="2.25" hidden="1" customHeight="1" x14ac:dyDescent="0.15">
      <c r="D107" s="81"/>
      <c r="AU107" s="36"/>
      <c r="AV107" s="129"/>
      <c r="AW107" s="129"/>
      <c r="AX107" s="129"/>
      <c r="AY107" s="89" t="s">
        <v>37</v>
      </c>
      <c r="AZ107" s="129"/>
      <c r="BA107" s="129"/>
      <c r="BB107" s="129"/>
      <c r="BC107" s="130"/>
      <c r="BD107" s="130"/>
      <c r="BE107" s="130"/>
      <c r="BG107" s="36"/>
      <c r="BH107" s="129"/>
      <c r="BI107" s="129"/>
      <c r="BJ107" s="129"/>
      <c r="BK107" s="71" t="s">
        <v>37</v>
      </c>
      <c r="BL107" s="129"/>
      <c r="BM107" s="129"/>
      <c r="BN107" s="129"/>
      <c r="BO107" s="130"/>
      <c r="BP107" s="130"/>
      <c r="BQ107" s="130"/>
      <c r="BR107" s="44"/>
      <c r="BS107" s="36"/>
      <c r="BT107" s="129"/>
      <c r="BU107" s="129"/>
      <c r="BV107" s="129"/>
      <c r="BW107" s="71" t="s">
        <v>37</v>
      </c>
      <c r="BX107" s="129"/>
      <c r="BY107" s="129"/>
      <c r="BZ107" s="129"/>
      <c r="CA107" s="130"/>
      <c r="CB107" s="130"/>
      <c r="CC107" s="130"/>
    </row>
    <row r="108" spans="2:81" ht="2.25" hidden="1" customHeight="1" x14ac:dyDescent="0.15">
      <c r="B108" s="2" t="s">
        <v>96</v>
      </c>
      <c r="D108" s="70" t="s">
        <v>91</v>
      </c>
      <c r="E108" s="57">
        <f>IF($E$27&lt;6,1,IF($E$27&gt;=6,0,"ERROR"))</f>
        <v>1</v>
      </c>
      <c r="I108" s="57"/>
      <c r="AU108" s="36"/>
      <c r="AV108" s="129"/>
      <c r="AW108" s="129"/>
      <c r="AX108" s="129"/>
      <c r="AY108" s="89" t="s">
        <v>37</v>
      </c>
      <c r="AZ108" s="129"/>
      <c r="BA108" s="129"/>
      <c r="BB108" s="129"/>
      <c r="BC108" s="130"/>
      <c r="BD108" s="130"/>
      <c r="BE108" s="130"/>
      <c r="BG108" s="36"/>
      <c r="BH108" s="129"/>
      <c r="BI108" s="129"/>
      <c r="BJ108" s="129"/>
      <c r="BK108" s="71" t="s">
        <v>37</v>
      </c>
      <c r="BL108" s="129"/>
      <c r="BM108" s="129"/>
      <c r="BN108" s="129"/>
      <c r="BO108" s="130"/>
      <c r="BP108" s="130"/>
      <c r="BQ108" s="130"/>
      <c r="BR108" s="44"/>
      <c r="BS108" s="36"/>
      <c r="BT108" s="129"/>
      <c r="BU108" s="129"/>
      <c r="BV108" s="129"/>
      <c r="BW108" s="71" t="s">
        <v>37</v>
      </c>
      <c r="BX108" s="129"/>
      <c r="BY108" s="129"/>
      <c r="BZ108" s="129"/>
      <c r="CA108" s="130"/>
      <c r="CB108" s="130"/>
      <c r="CC108" s="130"/>
    </row>
    <row r="109" spans="2:81" ht="2.25" hidden="1" customHeight="1" x14ac:dyDescent="0.15">
      <c r="D109" s="91" t="s">
        <v>105</v>
      </c>
      <c r="E109" s="57">
        <f>IF($E$27&lt;18,1,IF($E$27&gt;=18,0,"ERROR"))</f>
        <v>1</v>
      </c>
      <c r="I109" s="57"/>
      <c r="AU109" s="36"/>
      <c r="AV109" s="129"/>
      <c r="AW109" s="129"/>
      <c r="AX109" s="129"/>
      <c r="AY109" s="89" t="s">
        <v>37</v>
      </c>
      <c r="AZ109" s="129"/>
      <c r="BA109" s="129"/>
      <c r="BB109" s="129"/>
      <c r="BC109" s="130"/>
      <c r="BD109" s="130"/>
      <c r="BE109" s="130"/>
      <c r="BG109" s="36"/>
      <c r="BH109" s="129"/>
      <c r="BI109" s="129"/>
      <c r="BJ109" s="129"/>
      <c r="BK109" s="71" t="s">
        <v>37</v>
      </c>
      <c r="BL109" s="129"/>
      <c r="BM109" s="129"/>
      <c r="BN109" s="129"/>
      <c r="BO109" s="130"/>
      <c r="BP109" s="130"/>
      <c r="BQ109" s="130"/>
      <c r="BR109" s="44"/>
      <c r="BS109" s="36"/>
      <c r="BT109" s="129"/>
      <c r="BU109" s="129"/>
      <c r="BV109" s="129"/>
      <c r="BW109" s="71" t="s">
        <v>37</v>
      </c>
      <c r="BX109" s="129"/>
      <c r="BY109" s="129"/>
      <c r="BZ109" s="129"/>
      <c r="CA109" s="130"/>
      <c r="CB109" s="130"/>
      <c r="CC109" s="130"/>
    </row>
    <row r="110" spans="2:81" ht="2.25" hidden="1" customHeight="1" x14ac:dyDescent="0.15">
      <c r="D110" s="69"/>
      <c r="E110" s="146" t="s">
        <v>20</v>
      </c>
      <c r="F110" s="147"/>
      <c r="G110" s="147"/>
      <c r="H110" s="145" t="s">
        <v>7</v>
      </c>
      <c r="I110" s="145"/>
      <c r="J110" s="145"/>
      <c r="K110" s="145" t="s">
        <v>28</v>
      </c>
      <c r="L110" s="145"/>
      <c r="M110" s="145"/>
      <c r="N110" s="145" t="s">
        <v>29</v>
      </c>
      <c r="O110" s="145"/>
      <c r="P110" s="145"/>
      <c r="Q110" s="145" t="s">
        <v>6</v>
      </c>
      <c r="R110" s="145"/>
      <c r="S110" s="145"/>
      <c r="T110" s="144" t="s">
        <v>71</v>
      </c>
      <c r="U110" s="145"/>
      <c r="V110" s="145"/>
      <c r="W110" s="144" t="s">
        <v>72</v>
      </c>
      <c r="X110" s="145"/>
      <c r="Y110" s="145"/>
      <c r="AA110" s="145" t="s">
        <v>73</v>
      </c>
      <c r="AB110" s="145"/>
      <c r="AC110" s="145"/>
      <c r="AD110" s="69"/>
      <c r="AE110" s="145" t="s">
        <v>74</v>
      </c>
      <c r="AF110" s="145"/>
      <c r="AG110" s="145"/>
      <c r="AH110" s="90"/>
      <c r="AU110" s="36"/>
      <c r="AV110" s="129"/>
      <c r="AW110" s="129"/>
      <c r="AX110" s="129"/>
      <c r="AY110" s="89" t="s">
        <v>37</v>
      </c>
      <c r="AZ110" s="129"/>
      <c r="BA110" s="129"/>
      <c r="BB110" s="129"/>
      <c r="BC110" s="130"/>
      <c r="BD110" s="130"/>
      <c r="BE110" s="130"/>
      <c r="BG110" s="36"/>
      <c r="BH110" s="129"/>
      <c r="BI110" s="129"/>
      <c r="BJ110" s="129"/>
      <c r="BK110" s="71" t="s">
        <v>37</v>
      </c>
      <c r="BL110" s="129"/>
      <c r="BM110" s="129"/>
      <c r="BN110" s="129"/>
      <c r="BO110" s="130"/>
      <c r="BP110" s="130"/>
      <c r="BQ110" s="130"/>
      <c r="BR110" s="44"/>
      <c r="BS110" s="36"/>
      <c r="BT110" s="129"/>
      <c r="BU110" s="129"/>
      <c r="BV110" s="129"/>
      <c r="BW110" s="71" t="s">
        <v>37</v>
      </c>
      <c r="BX110" s="129"/>
      <c r="BY110" s="129"/>
      <c r="BZ110" s="129"/>
      <c r="CA110" s="130"/>
      <c r="CB110" s="130"/>
      <c r="CC110" s="130"/>
    </row>
    <row r="111" spans="2:81" ht="2.25" hidden="1" customHeight="1" x14ac:dyDescent="0.15">
      <c r="D111" s="69" t="s">
        <v>1</v>
      </c>
      <c r="E111" s="138">
        <f>IF($E$45="",0,ROUNDDOWN(SUMPRODUCT($T$45,$E$45,$AC$45),0))</f>
        <v>0</v>
      </c>
      <c r="F111" s="138"/>
      <c r="G111" s="138"/>
      <c r="H111" s="138">
        <f>IF($E$45="",0,ROUNDDOWN(ROUNDDOWN(SUMPRODUCT($T$45,$E$45,$AC$45),0)*$E$3%,0))</f>
        <v>0</v>
      </c>
      <c r="I111" s="138"/>
      <c r="J111" s="138"/>
      <c r="K111" s="138">
        <f>IF($E$45="",0,IF($E$108=0,ROUNDDOWN(($E$45*$AC$45*$AD$45),0),IF($E$108=1,ROUNDDOWN(($E$45*$AI$45*$AJ$45),0),"ERROR")))</f>
        <v>0</v>
      </c>
      <c r="L111" s="138"/>
      <c r="M111" s="138"/>
      <c r="N111" s="138">
        <f>IF($E$45="",0,ROUNDDOWN(MAX($E$40:$F$47)*$M$3/12,0)/$E$48)</f>
        <v>0</v>
      </c>
      <c r="O111" s="138"/>
      <c r="P111" s="138"/>
      <c r="Q111" s="138" t="str">
        <f>IF($AC$39=0,"軽減なし",$AC$39&amp;"割軽減")</f>
        <v>7割軽減</v>
      </c>
      <c r="R111" s="138"/>
      <c r="S111" s="138"/>
      <c r="T111" s="138">
        <f>ROUNDUP(K111*$AD$39,0)</f>
        <v>0</v>
      </c>
      <c r="U111" s="138"/>
      <c r="V111" s="138"/>
      <c r="W111" s="138">
        <f>ROUNDUP(N111*$AE$39,0)</f>
        <v>0</v>
      </c>
      <c r="X111" s="138"/>
      <c r="Y111" s="138"/>
      <c r="Z111" s="68" t="s">
        <v>0</v>
      </c>
      <c r="AA111" s="138">
        <f>SUM(K111:P111,H111)-SUM(T111:Y111)</f>
        <v>0</v>
      </c>
      <c r="AB111" s="138"/>
      <c r="AC111" s="138"/>
      <c r="AD111" s="68" t="s">
        <v>8</v>
      </c>
      <c r="AE111" s="138">
        <f>IF($E$45="",0,IF(AA111&gt;$Q$3/12*$E$45,ROUNDDOWN($Q$3/12*$E$45,0),ROUNDDOWN(AA111,-2)))</f>
        <v>0</v>
      </c>
      <c r="AF111" s="138"/>
      <c r="AG111" s="138"/>
      <c r="AH111" s="88"/>
      <c r="AU111" s="36"/>
      <c r="AV111" s="129"/>
      <c r="AW111" s="129"/>
      <c r="AX111" s="129"/>
      <c r="AY111" s="89" t="s">
        <v>37</v>
      </c>
      <c r="AZ111" s="129"/>
      <c r="BA111" s="129"/>
      <c r="BB111" s="129"/>
      <c r="BC111" s="130"/>
      <c r="BD111" s="130"/>
      <c r="BE111" s="130"/>
      <c r="BG111" s="36"/>
      <c r="BH111" s="129"/>
      <c r="BI111" s="129"/>
      <c r="BJ111" s="129"/>
      <c r="BK111" s="71" t="s">
        <v>37</v>
      </c>
      <c r="BL111" s="129"/>
      <c r="BM111" s="129"/>
      <c r="BN111" s="129"/>
      <c r="BO111" s="130"/>
      <c r="BP111" s="130"/>
      <c r="BQ111" s="130"/>
      <c r="BR111" s="44"/>
      <c r="BS111" s="36"/>
      <c r="BT111" s="129"/>
      <c r="BU111" s="129"/>
      <c r="BV111" s="129"/>
      <c r="BW111" s="71" t="s">
        <v>37</v>
      </c>
      <c r="BX111" s="129"/>
      <c r="BY111" s="129"/>
      <c r="BZ111" s="129"/>
      <c r="CA111" s="130"/>
      <c r="CB111" s="130"/>
      <c r="CC111" s="130"/>
    </row>
    <row r="112" spans="2:81" ht="2.25" hidden="1" customHeight="1" x14ac:dyDescent="0.15">
      <c r="D112" s="69" t="s">
        <v>2</v>
      </c>
      <c r="E112" s="138">
        <f>IF($E$45="",0,ROUNDDOWN(SUMPRODUCT($T$45,$E$45,$AC$45),0))</f>
        <v>0</v>
      </c>
      <c r="F112" s="138"/>
      <c r="G112" s="138"/>
      <c r="H112" s="138">
        <f>IF($E$45="",0,ROUNDDOWN(ROUNDDOWN(SUMPRODUCT($T$45,$E$45,$AC$45),0)*$E$4%,0))</f>
        <v>0</v>
      </c>
      <c r="I112" s="138"/>
      <c r="J112" s="138"/>
      <c r="K112" s="138">
        <f>IF($E$45="",0,IF($E$108=0,ROUNDDOWN(($E$45*$AC$45*$AE$45),0),IF($E$108=1,ROUNDDOWN(($E$45*$AI$45*$AK$45),0),"ERROR")))</f>
        <v>0</v>
      </c>
      <c r="L112" s="138"/>
      <c r="M112" s="138"/>
      <c r="N112" s="138">
        <f>IF($E$45="",0,ROUNDDOWN(MAX($E$40:$F$47)*$M$4/12,0)/$E$48)</f>
        <v>0</v>
      </c>
      <c r="O112" s="138"/>
      <c r="P112" s="138"/>
      <c r="Q112" s="138" t="str">
        <f>IF($AC$39=0,"軽減なし",$AC$39&amp;"割軽減")</f>
        <v>7割軽減</v>
      </c>
      <c r="R112" s="138"/>
      <c r="S112" s="138"/>
      <c r="T112" s="138">
        <f>ROUNDUP(K112*$AD$39,0)</f>
        <v>0</v>
      </c>
      <c r="U112" s="138"/>
      <c r="V112" s="138"/>
      <c r="W112" s="138">
        <f>ROUNDUP(N112*$AE$39,0)</f>
        <v>0</v>
      </c>
      <c r="X112" s="138"/>
      <c r="Y112" s="138"/>
      <c r="Z112" s="68" t="s">
        <v>0</v>
      </c>
      <c r="AA112" s="138">
        <f>SUM(K112:P112,H112)-SUM(T112:Y112)</f>
        <v>0</v>
      </c>
      <c r="AB112" s="138"/>
      <c r="AC112" s="138"/>
      <c r="AD112" s="68" t="s">
        <v>8</v>
      </c>
      <c r="AE112" s="138">
        <f>IF($E$45="",0,IF(AA112&gt;$Q$4/12*$E$45,ROUNDDOWN($Q$4/12*$E$45,0),ROUNDDOWN(AA112,-2)))</f>
        <v>0</v>
      </c>
      <c r="AF112" s="138"/>
      <c r="AG112" s="138"/>
      <c r="AH112" s="88"/>
      <c r="AU112" s="70"/>
      <c r="AV112" s="41"/>
      <c r="AW112" s="41"/>
      <c r="AX112" s="41"/>
      <c r="AY112" s="70"/>
      <c r="AZ112" s="33"/>
      <c r="BA112" s="33"/>
      <c r="BB112" s="33"/>
      <c r="BC112" s="38"/>
      <c r="BD112" s="38"/>
      <c r="BE112" s="38"/>
      <c r="BG112" s="70"/>
      <c r="BH112" s="41"/>
      <c r="BI112" s="41"/>
      <c r="BJ112" s="41"/>
      <c r="BK112" s="70"/>
      <c r="BL112" s="33"/>
      <c r="BM112" s="33"/>
      <c r="BN112" s="33"/>
      <c r="BO112" s="38"/>
      <c r="BP112" s="38"/>
      <c r="BQ112" s="38"/>
      <c r="BR112" s="38"/>
      <c r="BS112" s="70"/>
      <c r="BT112" s="41"/>
      <c r="BU112" s="41"/>
      <c r="BV112" s="41"/>
      <c r="BW112" s="70"/>
      <c r="BX112" s="33"/>
      <c r="BY112" s="33"/>
      <c r="BZ112" s="33"/>
      <c r="CA112" s="38"/>
      <c r="CB112" s="38"/>
      <c r="CC112" s="38"/>
    </row>
    <row r="113" spans="2:81" ht="2.25" hidden="1" customHeight="1" x14ac:dyDescent="0.15">
      <c r="D113" s="69" t="s">
        <v>3</v>
      </c>
      <c r="E113" s="138">
        <f>IF($E$45="",0,ROUNDDOWN(SUMPRODUCT($T$45,$G$45,$AC$45),0))</f>
        <v>0</v>
      </c>
      <c r="F113" s="138"/>
      <c r="G113" s="138"/>
      <c r="H113" s="138">
        <f>IF($E$45="",0,ROUNDDOWN(ROUNDDOWN(SUMPRODUCT($T$45,$G$45,$AC$45),0)*$E$5%,0))</f>
        <v>0</v>
      </c>
      <c r="I113" s="138"/>
      <c r="J113" s="138"/>
      <c r="K113" s="138">
        <f>IF($E$45="",0,IF($E$108=0,ROUNDDOWN(($G$45*$AC$45*$AF$45),0),IF($E$108=1,ROUNDDOWN(($G$45*$AI$45*$AL$45),0),"ERROR")))</f>
        <v>0</v>
      </c>
      <c r="L113" s="138"/>
      <c r="M113" s="138"/>
      <c r="N113" s="138">
        <f>IF(K113=0,0,$M$5)</f>
        <v>0</v>
      </c>
      <c r="O113" s="138"/>
      <c r="P113" s="138"/>
      <c r="Q113" s="138" t="str">
        <f>IF($AC$39=0,"軽減なし",$AC$39&amp;"割軽減")</f>
        <v>7割軽減</v>
      </c>
      <c r="R113" s="138"/>
      <c r="S113" s="138"/>
      <c r="T113" s="138">
        <f>ROUNDUP(K113*$AD$39,0)</f>
        <v>0</v>
      </c>
      <c r="U113" s="138"/>
      <c r="V113" s="138"/>
      <c r="W113" s="138">
        <f>ROUNDUP(N113*$AE$39,0)</f>
        <v>0</v>
      </c>
      <c r="X113" s="138"/>
      <c r="Y113" s="138"/>
      <c r="Z113" s="68" t="s">
        <v>0</v>
      </c>
      <c r="AA113" s="138">
        <f>SUM(K113:P113,H113)-SUM(T113:Y113)</f>
        <v>0</v>
      </c>
      <c r="AB113" s="138"/>
      <c r="AC113" s="138"/>
      <c r="AD113" s="68" t="s">
        <v>8</v>
      </c>
      <c r="AE113" s="138">
        <f>IF($E$45="",0,IF(AA113&gt;$Q$5/12*$G$45,ROUNDDOWN($Q$5/12*$G$45,0),ROUNDDOWN(AA113,-2)))</f>
        <v>0</v>
      </c>
      <c r="AF113" s="138"/>
      <c r="AG113" s="138"/>
      <c r="AH113" s="88"/>
      <c r="AU113" s="70"/>
      <c r="AV113" s="120" t="s">
        <v>31</v>
      </c>
      <c r="AW113" s="120"/>
      <c r="AX113" s="120"/>
      <c r="AY113" s="120"/>
      <c r="AZ113" s="121">
        <f>F25</f>
        <v>0</v>
      </c>
      <c r="BA113" s="122"/>
      <c r="BB113" s="123"/>
      <c r="BC113" s="39"/>
      <c r="BD113" s="40"/>
      <c r="BE113" s="40"/>
      <c r="BG113" s="70"/>
      <c r="BH113" s="120" t="s">
        <v>43</v>
      </c>
      <c r="BI113" s="120"/>
      <c r="BJ113" s="120"/>
      <c r="BK113" s="120"/>
      <c r="BL113" s="124">
        <f>J25</f>
        <v>0</v>
      </c>
      <c r="BM113" s="124"/>
      <c r="BN113" s="124"/>
      <c r="BO113" s="39"/>
      <c r="BP113" s="40"/>
      <c r="BQ113" s="40"/>
      <c r="BR113" s="40"/>
      <c r="BS113" s="70"/>
      <c r="BT113" s="120" t="s">
        <v>43</v>
      </c>
      <c r="BU113" s="120"/>
      <c r="BV113" s="120"/>
      <c r="BW113" s="120"/>
      <c r="BX113" s="124">
        <f>BL113</f>
        <v>0</v>
      </c>
      <c r="BY113" s="124"/>
      <c r="BZ113" s="124"/>
      <c r="CA113" s="39"/>
      <c r="CB113" s="40"/>
      <c r="CC113" s="40"/>
    </row>
    <row r="114" spans="2:81" ht="2.25" hidden="1" customHeight="1" x14ac:dyDescent="0.15">
      <c r="D114" s="81" t="s">
        <v>104</v>
      </c>
      <c r="E114" s="138">
        <f>IF($E$45="",0,ROUNDDOWN(SUMPRODUCT($T$45,$G$45,$AC$45),0))</f>
        <v>0</v>
      </c>
      <c r="F114" s="138"/>
      <c r="G114" s="138"/>
      <c r="H114" s="138">
        <f>IF($E$45="",0,ROUNDDOWN(ROUNDDOWN(SUMPRODUCT($T$45,$G$45,$AC$45),0)*$E$5%,0))</f>
        <v>0</v>
      </c>
      <c r="I114" s="138"/>
      <c r="J114" s="138"/>
      <c r="K114" s="138">
        <f>IF(E45="",0,IF($E$109=0,ROUNDDOWN(SUMPRODUCT($E$45,$AC$45,$AG$45),0),IF($E$108=0,ROUNDDOWN(SUMPRODUCT($E$45,$AC$45,$AH$45),0),IF($E$108=1,ROUNDDOWN(SUMPRODUCT($E$45,$AI$45,$AN$45),0),"ERROR"))))</f>
        <v>0</v>
      </c>
      <c r="L114" s="138"/>
      <c r="M114" s="138"/>
      <c r="N114" s="138">
        <f>IF(K114=0,0,$M$5)</f>
        <v>0</v>
      </c>
      <c r="O114" s="138"/>
      <c r="P114" s="138"/>
      <c r="Q114" s="138" t="str">
        <f>IF($AC$39=0,"軽減なし",$AC$39&amp;"割軽減")</f>
        <v>7割軽減</v>
      </c>
      <c r="R114" s="138"/>
      <c r="S114" s="138"/>
      <c r="T114" s="138">
        <f>IF(E109=1,K114,ROUNDUP(K114*$AD$39,0))</f>
        <v>0</v>
      </c>
      <c r="U114" s="138"/>
      <c r="V114" s="138"/>
      <c r="W114" s="138">
        <f>ROUNDUP(N114*$AE$39,0)</f>
        <v>0</v>
      </c>
      <c r="X114" s="138"/>
      <c r="Y114" s="138"/>
      <c r="Z114" s="78" t="s">
        <v>0</v>
      </c>
      <c r="AA114" s="138">
        <f>SUM(K114:P114,H114)-SUM(T114:Y114)</f>
        <v>0</v>
      </c>
      <c r="AB114" s="138"/>
      <c r="AC114" s="138"/>
      <c r="AD114" s="78" t="s">
        <v>8</v>
      </c>
      <c r="AE114" s="138">
        <f>IF($E$45="",0,IF(AA114&gt;$Q$6/12*$E$45,ROUNDDOWN($Q$6/12*$E$45,0),ROUNDDOWN(AA114,-2)))</f>
        <v>0</v>
      </c>
      <c r="AF114" s="138"/>
      <c r="AG114" s="138"/>
      <c r="AH114" s="88"/>
      <c r="AV114" s="120" t="s">
        <v>42</v>
      </c>
      <c r="AW114" s="120"/>
      <c r="AX114" s="120"/>
      <c r="AY114" s="120"/>
      <c r="AZ114" s="127">
        <f>SUM(BC101:BE111)</f>
        <v>0</v>
      </c>
      <c r="BA114" s="125"/>
      <c r="BB114" s="125"/>
      <c r="BH114" s="120" t="s">
        <v>44</v>
      </c>
      <c r="BI114" s="120"/>
      <c r="BJ114" s="120"/>
      <c r="BK114" s="120"/>
      <c r="BL114" s="127">
        <f>SUM(BO101:BQ111)</f>
        <v>0</v>
      </c>
      <c r="BM114" s="125"/>
      <c r="BN114" s="125"/>
      <c r="BO114" s="57">
        <f>IF(D25&lt;65,1,0)</f>
        <v>1</v>
      </c>
      <c r="BT114" s="120" t="s">
        <v>44</v>
      </c>
      <c r="BU114" s="120"/>
      <c r="BV114" s="120"/>
      <c r="BW114" s="120"/>
      <c r="BX114" s="127">
        <f>SUM(CA101:CC111)</f>
        <v>0</v>
      </c>
      <c r="BY114" s="125"/>
      <c r="BZ114" s="125"/>
      <c r="CA114" s="57">
        <f>IF(D25&lt;65,0,1)</f>
        <v>0</v>
      </c>
    </row>
    <row r="115" spans="2:81" ht="2.25" hidden="1" customHeight="1" x14ac:dyDescent="0.15">
      <c r="D115" s="81"/>
      <c r="AV115" s="83"/>
      <c r="AW115" s="83"/>
      <c r="AX115" s="83"/>
      <c r="AY115" s="83"/>
      <c r="AZ115" s="84"/>
      <c r="BA115" s="61"/>
      <c r="BB115" s="61"/>
      <c r="BH115" s="83"/>
      <c r="BI115" s="83"/>
      <c r="BJ115" s="83"/>
      <c r="BK115" s="83"/>
      <c r="BL115" s="85"/>
      <c r="BM115" s="86"/>
      <c r="BN115" s="86"/>
      <c r="BO115" s="57"/>
      <c r="BT115" s="83"/>
      <c r="BU115" s="83"/>
      <c r="BV115" s="83"/>
      <c r="BW115" s="83"/>
      <c r="BX115" s="85"/>
      <c r="BY115" s="86"/>
      <c r="BZ115" s="86"/>
      <c r="CA115" s="57"/>
    </row>
    <row r="116" spans="2:81" ht="2.25" hidden="1" customHeight="1" x14ac:dyDescent="0.15">
      <c r="B116" s="2" t="s">
        <v>97</v>
      </c>
      <c r="D116" s="70" t="s">
        <v>91</v>
      </c>
      <c r="E116" s="57">
        <f>IF($E$28&lt;6,1,IF($E$28&gt;=6,0,"ERROR"))</f>
        <v>1</v>
      </c>
      <c r="I116" s="57"/>
      <c r="BL116" s="42"/>
      <c r="BM116" s="42"/>
      <c r="BN116" s="42"/>
      <c r="BX116" s="42"/>
      <c r="BY116" s="42"/>
      <c r="BZ116" s="42"/>
    </row>
    <row r="117" spans="2:81" ht="2.25" hidden="1" customHeight="1" x14ac:dyDescent="0.15">
      <c r="D117" s="91" t="s">
        <v>105</v>
      </c>
      <c r="E117" s="57">
        <f>IF($E$28&lt;18,1,IF($E$28&gt;=18,0,"ERROR"))</f>
        <v>1</v>
      </c>
      <c r="I117" s="57"/>
      <c r="BL117" s="42"/>
      <c r="BM117" s="42"/>
      <c r="BN117" s="42"/>
      <c r="BX117" s="42"/>
      <c r="BY117" s="42"/>
      <c r="BZ117" s="42"/>
    </row>
    <row r="118" spans="2:81" ht="2.25" hidden="1" customHeight="1" x14ac:dyDescent="0.15">
      <c r="D118" s="69"/>
      <c r="E118" s="146" t="s">
        <v>20</v>
      </c>
      <c r="F118" s="147"/>
      <c r="G118" s="147"/>
      <c r="H118" s="145" t="s">
        <v>7</v>
      </c>
      <c r="I118" s="145"/>
      <c r="J118" s="145"/>
      <c r="K118" s="145" t="s">
        <v>28</v>
      </c>
      <c r="L118" s="145"/>
      <c r="M118" s="145"/>
      <c r="N118" s="145" t="s">
        <v>29</v>
      </c>
      <c r="O118" s="145"/>
      <c r="P118" s="145"/>
      <c r="Q118" s="145" t="s">
        <v>6</v>
      </c>
      <c r="R118" s="145"/>
      <c r="S118" s="145"/>
      <c r="T118" s="144" t="s">
        <v>71</v>
      </c>
      <c r="U118" s="145"/>
      <c r="V118" s="145"/>
      <c r="W118" s="144" t="s">
        <v>72</v>
      </c>
      <c r="X118" s="145"/>
      <c r="Y118" s="145"/>
      <c r="AA118" s="145" t="s">
        <v>73</v>
      </c>
      <c r="AB118" s="145"/>
      <c r="AC118" s="145"/>
      <c r="AD118" s="69"/>
      <c r="AE118" s="145" t="s">
        <v>74</v>
      </c>
      <c r="AF118" s="145"/>
      <c r="AG118" s="145"/>
      <c r="AH118" s="90"/>
      <c r="BG118" s="125" t="s">
        <v>45</v>
      </c>
      <c r="BH118" s="125"/>
      <c r="BI118" s="125"/>
      <c r="BJ118" s="125"/>
      <c r="BK118" s="125"/>
      <c r="BL118" s="125"/>
      <c r="BM118" s="125"/>
      <c r="BN118" s="125"/>
      <c r="BO118" s="125"/>
      <c r="BP118" s="125"/>
      <c r="BQ118" s="125"/>
      <c r="BR118" s="61"/>
      <c r="BS118" s="125" t="s">
        <v>45</v>
      </c>
      <c r="BT118" s="125"/>
      <c r="BU118" s="125"/>
      <c r="BV118" s="125"/>
      <c r="BW118" s="125"/>
      <c r="BX118" s="125"/>
      <c r="BY118" s="125"/>
      <c r="BZ118" s="125"/>
      <c r="CA118" s="125"/>
      <c r="CB118" s="125"/>
      <c r="CC118" s="125"/>
    </row>
    <row r="119" spans="2:81" ht="2.25" hidden="1" customHeight="1" x14ac:dyDescent="0.15">
      <c r="D119" s="69" t="s">
        <v>1</v>
      </c>
      <c r="E119" s="138">
        <f>IF($E$46="",0,ROUNDDOWN(SUMPRODUCT($T$46,$E$46,$AC$46),0))</f>
        <v>0</v>
      </c>
      <c r="F119" s="138"/>
      <c r="G119" s="138"/>
      <c r="H119" s="138">
        <f>IF($E$46="",0,ROUNDDOWN(ROUNDDOWN(SUMPRODUCT($T$46,$E$46,$AC$46),0)*$E$3%,0))</f>
        <v>0</v>
      </c>
      <c r="I119" s="138"/>
      <c r="J119" s="138"/>
      <c r="K119" s="138">
        <f>IF($E$46="",0,IF($E$116=0,ROUNDDOWN(($E$46*$AC$46*$AD$46),0),IF($E$116=1,ROUNDDOWN(($E$46*$AI$46*$AJ$46),0),"ERROR")))</f>
        <v>0</v>
      </c>
      <c r="L119" s="138"/>
      <c r="M119" s="138"/>
      <c r="N119" s="138">
        <f>IF($E$46="",0,ROUNDDOWN(MAX($E$40:$F$47)*$M$3/12,0)/$E$48)</f>
        <v>0</v>
      </c>
      <c r="O119" s="138"/>
      <c r="P119" s="138"/>
      <c r="Q119" s="138" t="str">
        <f>IF($AC$39=0,"軽減なし",$AC$39&amp;"割軽減")</f>
        <v>7割軽減</v>
      </c>
      <c r="R119" s="138"/>
      <c r="S119" s="138"/>
      <c r="T119" s="138">
        <f>ROUNDUP(K119*$AD$39,0)</f>
        <v>0</v>
      </c>
      <c r="U119" s="138"/>
      <c r="V119" s="138"/>
      <c r="W119" s="138">
        <f>ROUNDUP(N119*$AE$39,0)</f>
        <v>0</v>
      </c>
      <c r="X119" s="138"/>
      <c r="Y119" s="138"/>
      <c r="Z119" s="68" t="s">
        <v>0</v>
      </c>
      <c r="AA119" s="138">
        <f>SUM(K119:P119,H119)-SUM(T119:Y119)</f>
        <v>0</v>
      </c>
      <c r="AB119" s="138"/>
      <c r="AC119" s="138"/>
      <c r="AD119" s="68" t="s">
        <v>8</v>
      </c>
      <c r="AE119" s="138">
        <f>IF($E$46="",0,IF(AA119&gt;$Q$3/12*$E$46,ROUNDDOWN($Q$3/12*$E$46,0),ROUNDDOWN(AA119,-2)))</f>
        <v>0</v>
      </c>
      <c r="AF119" s="138"/>
      <c r="AG119" s="138"/>
      <c r="AH119" s="88"/>
      <c r="BN119" s="128">
        <f>V25</f>
        <v>0</v>
      </c>
      <c r="BO119" s="128"/>
      <c r="BP119" s="128"/>
      <c r="BQ119" s="128"/>
      <c r="BR119" s="45"/>
      <c r="BZ119" s="128">
        <f>BN119</f>
        <v>0</v>
      </c>
      <c r="CA119" s="128"/>
      <c r="CB119" s="128"/>
      <c r="CC119" s="128"/>
    </row>
    <row r="120" spans="2:81" ht="2.25" hidden="1" customHeight="1" x14ac:dyDescent="0.15">
      <c r="D120" s="69" t="s">
        <v>2</v>
      </c>
      <c r="E120" s="138">
        <f>IF($E$46="",0,ROUNDDOWN(SUMPRODUCT($T$46,$E$46,$AC$46),0))</f>
        <v>0</v>
      </c>
      <c r="F120" s="138"/>
      <c r="G120" s="138"/>
      <c r="H120" s="138">
        <f>IF($E$46="",0,ROUNDDOWN(ROUNDDOWN(SUMPRODUCT($T$46,$E$46,$AC$46),0)*$E$4%,0))</f>
        <v>0</v>
      </c>
      <c r="I120" s="138"/>
      <c r="J120" s="138"/>
      <c r="K120" s="138">
        <f>IF($E$46="",0,IF($E$116=0,ROUNDDOWN(($E$46*$AC$46*$AE$46),0),IF($E$116=1,ROUNDDOWN(($E$46*$AI$46*$AK$46),0),"ERROR")))</f>
        <v>0</v>
      </c>
      <c r="L120" s="138"/>
      <c r="M120" s="138"/>
      <c r="N120" s="138">
        <f>IF($E$46="",0,ROUNDDOWN(MAX($E$40:$F$47)*$M$4/12,0)/$E$48)</f>
        <v>0</v>
      </c>
      <c r="O120" s="138"/>
      <c r="P120" s="138"/>
      <c r="Q120" s="138" t="str">
        <f>IF($AC$39=0,"軽減なし",$AC$39&amp;"割軽減")</f>
        <v>7割軽減</v>
      </c>
      <c r="R120" s="138"/>
      <c r="S120" s="138"/>
      <c r="T120" s="138">
        <f>ROUNDUP(K120*$AD$39,0)</f>
        <v>0</v>
      </c>
      <c r="U120" s="138"/>
      <c r="V120" s="138"/>
      <c r="W120" s="138">
        <f>ROUNDUP(N120*$AE$39,0)</f>
        <v>0</v>
      </c>
      <c r="X120" s="138"/>
      <c r="Y120" s="138"/>
      <c r="Z120" s="68" t="s">
        <v>0</v>
      </c>
      <c r="AA120" s="138">
        <f>SUM(K120:P120,H120)-SUM(T120:Y120)</f>
        <v>0</v>
      </c>
      <c r="AB120" s="138"/>
      <c r="AC120" s="138"/>
      <c r="AD120" s="68" t="s">
        <v>8</v>
      </c>
      <c r="AE120" s="138">
        <f>IF($E$46="",0,IF(AA120&gt;$Q$4/12*$E$46,ROUNDDOWN($Q$4/12*$E$46,0),ROUNDDOWN(AA120,-2)))</f>
        <v>0</v>
      </c>
      <c r="AF120" s="138"/>
      <c r="AG120" s="138"/>
      <c r="AH120" s="88"/>
      <c r="AV120" t="s">
        <v>77</v>
      </c>
    </row>
    <row r="121" spans="2:81" ht="2.25" hidden="1" customHeight="1" x14ac:dyDescent="0.15">
      <c r="D121" s="69" t="s">
        <v>3</v>
      </c>
      <c r="E121" s="138">
        <f>IF($E$46="",0,ROUNDDOWN(SUMPRODUCT($T$46,$G$46,$AC$46),0))</f>
        <v>0</v>
      </c>
      <c r="F121" s="138"/>
      <c r="G121" s="138"/>
      <c r="H121" s="138">
        <f>IF($E$46="",0,ROUNDDOWN(ROUNDDOWN(SUMPRODUCT($T$46,$G$46,$AC$46),0)*$E$5%,0))</f>
        <v>0</v>
      </c>
      <c r="I121" s="138"/>
      <c r="J121" s="138"/>
      <c r="K121" s="138">
        <f>IF($E$46="",0,IF($E$116=0,ROUNDDOWN(($G$46*$AC$46*$AF$46),0),IF($E$116=1,ROUNDDOWN(($G$46*$AI$46*$AL$46),0),"ERROR")))</f>
        <v>0</v>
      </c>
      <c r="L121" s="138"/>
      <c r="M121" s="138"/>
      <c r="N121" s="138">
        <f>IF(K121=0,0,$M$5)</f>
        <v>0</v>
      </c>
      <c r="O121" s="138"/>
      <c r="P121" s="138"/>
      <c r="Q121" s="138" t="str">
        <f>IF($AC$39=0,"軽減なし",$AC$39&amp;"割軽減")</f>
        <v>7割軽減</v>
      </c>
      <c r="R121" s="138"/>
      <c r="S121" s="138"/>
      <c r="T121" s="138">
        <f>ROUNDUP(K121*$AD$39,0)</f>
        <v>0</v>
      </c>
      <c r="U121" s="138"/>
      <c r="V121" s="138"/>
      <c r="W121" s="138">
        <f>ROUNDUP(N121*$AE$39,0)</f>
        <v>0</v>
      </c>
      <c r="X121" s="138"/>
      <c r="Y121" s="138"/>
      <c r="Z121" s="68" t="s">
        <v>0</v>
      </c>
      <c r="AA121" s="138">
        <f>SUM(K121:P121,H121)-SUM(T121:Y121)</f>
        <v>0</v>
      </c>
      <c r="AB121" s="138"/>
      <c r="AC121" s="138"/>
      <c r="AD121" s="68" t="s">
        <v>8</v>
      </c>
      <c r="AE121" s="138">
        <f>IF($E$46="",0,IF(AA121&gt;$Q$5/12*$G$46,ROUNDDOWN($Q$5/12*$G$46,0),ROUNDDOWN(AA121,-2)))</f>
        <v>0</v>
      </c>
      <c r="AF121" s="138"/>
      <c r="AG121" s="138"/>
      <c r="AH121" s="88"/>
      <c r="AV121" s="125" t="s">
        <v>42</v>
      </c>
      <c r="AW121" s="125"/>
      <c r="AX121" s="125"/>
      <c r="AY121" s="125"/>
      <c r="AZ121" s="127">
        <f>AZ114</f>
        <v>0</v>
      </c>
      <c r="BA121" s="125"/>
      <c r="BB121" s="125"/>
      <c r="BD121" t="s">
        <v>87</v>
      </c>
    </row>
    <row r="122" spans="2:81" ht="2.25" hidden="1" customHeight="1" x14ac:dyDescent="0.15">
      <c r="D122" s="81" t="s">
        <v>104</v>
      </c>
      <c r="E122" s="138">
        <f>IF($E$46="",0,ROUNDDOWN(SUMPRODUCT($T$46,$G$46,$AC$46),0))</f>
        <v>0</v>
      </c>
      <c r="F122" s="138"/>
      <c r="G122" s="138"/>
      <c r="H122" s="138">
        <f>IF($E$46="",0,ROUNDDOWN(ROUNDDOWN(SUMPRODUCT($T$46,$G$46,$AC$46),0)*$E$5%,0))</f>
        <v>0</v>
      </c>
      <c r="I122" s="138"/>
      <c r="J122" s="138"/>
      <c r="K122" s="138">
        <f>IF(E46="",0,IF($E$117=0,ROUNDDOWN(SUMPRODUCT($E$46,$AC$46,$AG$46),0),IF($E$116=0,ROUNDDOWN(SUMPRODUCT($E$46,$AC$46,$AH$46),0),IF($E$116=1,ROUNDDOWN(SUMPRODUCT($E$46,$AI$46,$AN$46),0),"ERROR"))))</f>
        <v>0</v>
      </c>
      <c r="L122" s="138"/>
      <c r="M122" s="138"/>
      <c r="N122" s="138">
        <f>IF(K122=0,0,$M$5)</f>
        <v>0</v>
      </c>
      <c r="O122" s="138"/>
      <c r="P122" s="138"/>
      <c r="Q122" s="138" t="str">
        <f>IF($AC$39=0,"軽減なし",$AC$39&amp;"割軽減")</f>
        <v>7割軽減</v>
      </c>
      <c r="R122" s="138"/>
      <c r="S122" s="138"/>
      <c r="T122" s="138">
        <f>IF(E117=1,K122,ROUNDUP(K122*$AD$39,0))</f>
        <v>0</v>
      </c>
      <c r="U122" s="138"/>
      <c r="V122" s="138"/>
      <c r="W122" s="138">
        <f>ROUNDUP(N122*$AE$39,0)</f>
        <v>0</v>
      </c>
      <c r="X122" s="138"/>
      <c r="Y122" s="138"/>
      <c r="Z122" s="78" t="s">
        <v>0</v>
      </c>
      <c r="AA122" s="138">
        <f>SUM(K122:P122,H122)-SUM(T122:Y122)</f>
        <v>0</v>
      </c>
      <c r="AB122" s="138"/>
      <c r="AC122" s="138"/>
      <c r="AD122" s="78" t="s">
        <v>8</v>
      </c>
      <c r="AE122" s="138">
        <f>IF($E$46="",0,IF(AA122&gt;$Q$6/12*$E$46,ROUNDDOWN($Q$6/12*$E$46,0),ROUNDDOWN(AA122,-2)))</f>
        <v>0</v>
      </c>
      <c r="AF122" s="138"/>
      <c r="AG122" s="138"/>
      <c r="AH122" s="88"/>
      <c r="AV122" s="125" t="s">
        <v>48</v>
      </c>
      <c r="AW122" s="125"/>
      <c r="AX122" s="125"/>
      <c r="AY122" s="125"/>
      <c r="AZ122" s="126">
        <f>IF(BO114=1,BL114,IF(CA114=1,BX114,0))</f>
        <v>0</v>
      </c>
      <c r="BA122" s="126"/>
      <c r="BB122" s="126"/>
      <c r="BD122" t="s">
        <v>86</v>
      </c>
    </row>
    <row r="123" spans="2:81" ht="2.25" hidden="1" customHeight="1" x14ac:dyDescent="0.15">
      <c r="D123" s="81"/>
      <c r="AV123" s="125" t="s">
        <v>49</v>
      </c>
      <c r="AW123" s="125"/>
      <c r="AX123" s="125"/>
      <c r="AY123" s="125"/>
      <c r="AZ123" s="127">
        <f>SUM(AZ121:BB122)+IF((AND(AZ121&gt;0,AZ122&gt;0,(AZ121+AZ122)&gt;100000)),-100000,0)</f>
        <v>0</v>
      </c>
      <c r="BA123" s="125"/>
      <c r="BB123" s="125"/>
      <c r="BD123" t="s">
        <v>70</v>
      </c>
      <c r="BR123" s="62"/>
    </row>
    <row r="124" spans="2:81" ht="2.25" hidden="1" customHeight="1" x14ac:dyDescent="0.15">
      <c r="B124" s="2" t="s">
        <v>98</v>
      </c>
      <c r="D124" s="70" t="s">
        <v>91</v>
      </c>
      <c r="E124" s="57">
        <f>IF($E$29&lt;6,1,IF($E$29&gt;=6,0,"ERROR"))</f>
        <v>1</v>
      </c>
      <c r="I124" s="57"/>
    </row>
    <row r="125" spans="2:81" ht="2.25" hidden="1" customHeight="1" x14ac:dyDescent="0.15">
      <c r="D125" s="91" t="s">
        <v>105</v>
      </c>
      <c r="E125" s="57">
        <f>IF($E$29&lt;18,1,IF($E$29&gt;=18,0,"ERROR"))</f>
        <v>1</v>
      </c>
      <c r="I125" s="57"/>
      <c r="AV125" s="125" t="s">
        <v>66</v>
      </c>
      <c r="AW125" s="125"/>
      <c r="AX125" s="125"/>
      <c r="AY125" s="125"/>
      <c r="AZ125" s="126">
        <f>MAX(IF(BO114=1,BL114,IF(CA114=1,BX114-150000,0)),0)</f>
        <v>0</v>
      </c>
      <c r="BA125" s="126"/>
      <c r="BB125" s="126"/>
    </row>
    <row r="126" spans="2:81" ht="2.25" hidden="1" customHeight="1" x14ac:dyDescent="0.15">
      <c r="D126" s="69"/>
      <c r="E126" s="146" t="s">
        <v>20</v>
      </c>
      <c r="F126" s="147"/>
      <c r="G126" s="147"/>
      <c r="H126" s="145" t="s">
        <v>7</v>
      </c>
      <c r="I126" s="145"/>
      <c r="J126" s="145"/>
      <c r="K126" s="145" t="s">
        <v>28</v>
      </c>
      <c r="L126" s="145"/>
      <c r="M126" s="145"/>
      <c r="N126" s="145" t="s">
        <v>29</v>
      </c>
      <c r="O126" s="145"/>
      <c r="P126" s="145"/>
      <c r="Q126" s="145" t="s">
        <v>6</v>
      </c>
      <c r="R126" s="145"/>
      <c r="S126" s="145"/>
      <c r="T126" s="144" t="s">
        <v>71</v>
      </c>
      <c r="U126" s="145"/>
      <c r="V126" s="145"/>
      <c r="W126" s="144" t="s">
        <v>72</v>
      </c>
      <c r="X126" s="145"/>
      <c r="Y126" s="145"/>
      <c r="AA126" s="145" t="s">
        <v>73</v>
      </c>
      <c r="AB126" s="145"/>
      <c r="AC126" s="145"/>
      <c r="AD126" s="69"/>
      <c r="AE126" s="145" t="s">
        <v>74</v>
      </c>
      <c r="AF126" s="145"/>
      <c r="AG126" s="145"/>
      <c r="AH126" s="90"/>
    </row>
    <row r="127" spans="2:81" ht="2.25" hidden="1" customHeight="1" x14ac:dyDescent="0.15">
      <c r="D127" s="69" t="s">
        <v>1</v>
      </c>
      <c r="E127" s="138">
        <f>IF($E$47="",0,ROUNDDOWN(SUMPRODUCT($T$47,$E$47,$AC$47),0))</f>
        <v>0</v>
      </c>
      <c r="F127" s="138"/>
      <c r="G127" s="138"/>
      <c r="H127" s="138">
        <f>IF($E$47="",0,ROUNDDOWN(ROUNDDOWN(SUMPRODUCT($T$47,$E$47,$AC$47),0)*$E$3%,0))</f>
        <v>0</v>
      </c>
      <c r="I127" s="138"/>
      <c r="J127" s="138"/>
      <c r="K127" s="138">
        <f>IF($E$47="",0,IF($E$124=0,ROUNDDOWN(($E$47*$AC$47*$AD$47),0),IF($E$124=1,ROUNDDOWN(($E$47*$AI$47*$AJ$47),0),"ERROR")))</f>
        <v>0</v>
      </c>
      <c r="L127" s="138"/>
      <c r="M127" s="138"/>
      <c r="N127" s="138">
        <f>IF($E$47="",0,ROUNDDOWN(MAX($E$40:$F$47)*$M$3/12,0)/$E$48)</f>
        <v>0</v>
      </c>
      <c r="O127" s="138"/>
      <c r="P127" s="138"/>
      <c r="Q127" s="138" t="str">
        <f>IF($AC$39=0,"軽減なし",$AC$39&amp;"割軽減")</f>
        <v>7割軽減</v>
      </c>
      <c r="R127" s="138"/>
      <c r="S127" s="138"/>
      <c r="T127" s="138">
        <f>ROUNDUP(K127*$AD$39,0)</f>
        <v>0</v>
      </c>
      <c r="U127" s="138"/>
      <c r="V127" s="138"/>
      <c r="W127" s="138">
        <f>ROUNDUP(N127*$AE$39,0)</f>
        <v>0</v>
      </c>
      <c r="X127" s="138"/>
      <c r="Y127" s="138"/>
      <c r="Z127" s="68" t="s">
        <v>0</v>
      </c>
      <c r="AA127" s="138">
        <f>SUM(K127:P127,H127)-SUM(T127:Y127)</f>
        <v>0</v>
      </c>
      <c r="AB127" s="138"/>
      <c r="AC127" s="138"/>
      <c r="AD127" s="68" t="s">
        <v>8</v>
      </c>
      <c r="AE127" s="138">
        <f>IF($E$47="",0,IF(AA127&gt;$Q$3/12*$E$47,ROUNDDOWN($Q$3/12*$E$47,0),ROUNDDOWN(AA127,-2)))</f>
        <v>0</v>
      </c>
      <c r="AF127" s="138"/>
      <c r="AG127" s="138"/>
      <c r="AH127" s="88"/>
      <c r="AU127" s="133" t="s">
        <v>36</v>
      </c>
      <c r="AV127" s="134"/>
      <c r="AW127" s="134"/>
      <c r="AX127" s="134"/>
      <c r="AY127" s="134"/>
      <c r="AZ127" s="134"/>
      <c r="BA127" s="134"/>
      <c r="BB127" s="134"/>
      <c r="BC127" s="134"/>
      <c r="BD127" s="134"/>
      <c r="BE127" s="135"/>
      <c r="BG127" s="46"/>
      <c r="BH127" s="133" t="s">
        <v>47</v>
      </c>
      <c r="BI127" s="134"/>
      <c r="BJ127" s="134"/>
      <c r="BK127" s="134"/>
      <c r="BL127" s="134"/>
      <c r="BM127" s="134"/>
      <c r="BN127" s="134"/>
      <c r="BO127" s="134"/>
      <c r="BP127" s="134"/>
      <c r="BQ127" s="135"/>
      <c r="BR127" s="61"/>
      <c r="BS127" s="46"/>
      <c r="BT127" s="133" t="s">
        <v>46</v>
      </c>
      <c r="BU127" s="134"/>
      <c r="BV127" s="134"/>
      <c r="BW127" s="134"/>
      <c r="BX127" s="134"/>
      <c r="BY127" s="134"/>
      <c r="BZ127" s="134"/>
      <c r="CA127" s="134"/>
      <c r="CB127" s="134"/>
      <c r="CC127" s="135"/>
    </row>
    <row r="128" spans="2:81" ht="2.25" hidden="1" customHeight="1" x14ac:dyDescent="0.15">
      <c r="D128" s="69" t="s">
        <v>2</v>
      </c>
      <c r="E128" s="138">
        <f>IF($E$47="",0,ROUNDDOWN(SUMPRODUCT($T$47,$E$47,$AC$47),0))</f>
        <v>0</v>
      </c>
      <c r="F128" s="138"/>
      <c r="G128" s="138"/>
      <c r="H128" s="138">
        <f>IF($E$47="",0,ROUNDDOWN(ROUNDDOWN(SUMPRODUCT($T$47,$E$47,$AC$47),0)*$E$4%,0))</f>
        <v>0</v>
      </c>
      <c r="I128" s="138"/>
      <c r="J128" s="138"/>
      <c r="K128" s="138">
        <f>IF($E$47="",0,IF($E$124=0,ROUNDDOWN(($E$47*$AC$47*$AE$47),0),IF($E$124=1,ROUNDDOWN(($E$47*$AI$47*$AK$47),0),"ERROR")))</f>
        <v>0</v>
      </c>
      <c r="L128" s="138"/>
      <c r="M128" s="138"/>
      <c r="N128" s="138">
        <f>IF($E$47="",0,ROUNDDOWN(MAX($E$40:$F$47)*$M$4/12,0)/$E$48)</f>
        <v>0</v>
      </c>
      <c r="O128" s="138"/>
      <c r="P128" s="138"/>
      <c r="Q128" s="138" t="str">
        <f>IF($AC$39=0,"軽減なし",$AC$39&amp;"割軽減")</f>
        <v>7割軽減</v>
      </c>
      <c r="R128" s="138"/>
      <c r="S128" s="138"/>
      <c r="T128" s="138">
        <f>ROUNDUP(K128*$AD$39,0)</f>
        <v>0</v>
      </c>
      <c r="U128" s="138"/>
      <c r="V128" s="138"/>
      <c r="W128" s="138">
        <f>ROUNDUP(N128*$AE$39,0)</f>
        <v>0</v>
      </c>
      <c r="X128" s="138"/>
      <c r="Y128" s="138"/>
      <c r="Z128" s="68" t="s">
        <v>0</v>
      </c>
      <c r="AA128" s="138">
        <f>SUM(K128:P128,H128)-SUM(T128:Y128)</f>
        <v>0</v>
      </c>
      <c r="AB128" s="138"/>
      <c r="AC128" s="138"/>
      <c r="AD128" s="68" t="s">
        <v>8</v>
      </c>
      <c r="AE128" s="138">
        <f>IF($E$47="",0,IF(AA128&gt;$Q$4/12*$E$47,ROUNDDOWN($Q$4/12*$E$47,0),ROUNDDOWN(AA128,-2)))</f>
        <v>0</v>
      </c>
      <c r="AF128" s="138"/>
      <c r="AG128" s="138"/>
      <c r="AH128" s="88"/>
      <c r="AU128" s="136"/>
      <c r="AV128" s="131" t="s">
        <v>38</v>
      </c>
      <c r="AW128" s="131"/>
      <c r="AX128" s="131"/>
      <c r="AY128" s="131"/>
      <c r="AZ128" s="131"/>
      <c r="BA128" s="131"/>
      <c r="BB128" s="131"/>
      <c r="BC128" s="131" t="s">
        <v>39</v>
      </c>
      <c r="BD128" s="131"/>
      <c r="BE128" s="131"/>
      <c r="BG128" s="136"/>
      <c r="BH128" s="131" t="s">
        <v>38</v>
      </c>
      <c r="BI128" s="131"/>
      <c r="BJ128" s="131"/>
      <c r="BK128" s="131"/>
      <c r="BL128" s="131"/>
      <c r="BM128" s="131"/>
      <c r="BN128" s="131"/>
      <c r="BO128" s="131" t="s">
        <v>39</v>
      </c>
      <c r="BP128" s="131"/>
      <c r="BQ128" s="131"/>
      <c r="BR128" s="43"/>
      <c r="BS128" s="136"/>
      <c r="BT128" s="131" t="s">
        <v>38</v>
      </c>
      <c r="BU128" s="131"/>
      <c r="BV128" s="131"/>
      <c r="BW128" s="131"/>
      <c r="BX128" s="131"/>
      <c r="BY128" s="131"/>
      <c r="BZ128" s="131"/>
      <c r="CA128" s="131" t="s">
        <v>39</v>
      </c>
      <c r="CB128" s="131"/>
      <c r="CC128" s="131"/>
    </row>
    <row r="129" spans="2:81" ht="2.25" hidden="1" customHeight="1" x14ac:dyDescent="0.15">
      <c r="D129" s="69" t="s">
        <v>3</v>
      </c>
      <c r="E129" s="138">
        <f>IF($E$47="",0,ROUNDDOWN(SUMPRODUCT($T$47,$G$47,$AC$47),0))</f>
        <v>0</v>
      </c>
      <c r="F129" s="138"/>
      <c r="G129" s="138"/>
      <c r="H129" s="138">
        <f>IF($E$47="",0,ROUNDDOWN(ROUNDDOWN(SUMPRODUCT($T$47,$G$47,$AC$47),0)*$E$5%,0))</f>
        <v>0</v>
      </c>
      <c r="I129" s="138"/>
      <c r="J129" s="138"/>
      <c r="K129" s="138">
        <f>IF($E$47="",0,IF($E$124=0,ROUNDDOWN(($G$47*$AC$47*$AF$47),0),IF($E$124=1,ROUNDDOWN(($G$47*$AI$47*$AL$47),0),"ERROR")))</f>
        <v>0</v>
      </c>
      <c r="L129" s="138"/>
      <c r="M129" s="138"/>
      <c r="N129" s="138">
        <f>IF(K129=0,0,$M$5)</f>
        <v>0</v>
      </c>
      <c r="O129" s="138"/>
      <c r="P129" s="138"/>
      <c r="Q129" s="138" t="str">
        <f>IF($AC$39=0,"軽減なし",$AC$39&amp;"割軽減")</f>
        <v>7割軽減</v>
      </c>
      <c r="R129" s="138"/>
      <c r="S129" s="138"/>
      <c r="T129" s="138">
        <f>ROUNDUP(K129*$AD$39,0)</f>
        <v>0</v>
      </c>
      <c r="U129" s="138"/>
      <c r="V129" s="138"/>
      <c r="W129" s="138">
        <f>ROUNDUP(N129*$AE$39,0)</f>
        <v>0</v>
      </c>
      <c r="X129" s="138"/>
      <c r="Y129" s="138"/>
      <c r="Z129" s="68" t="s">
        <v>0</v>
      </c>
      <c r="AA129" s="138">
        <f>SUM(K129:P129,H129)-SUM(T129:Y129)</f>
        <v>0</v>
      </c>
      <c r="AB129" s="138"/>
      <c r="AC129" s="138"/>
      <c r="AD129" s="68" t="s">
        <v>8</v>
      </c>
      <c r="AE129" s="138">
        <f>IF($E$47="",0,IF(AA129&gt;$Q$5/12*$G$47,ROUNDDOWN($Q$5/12*$G$47,0),ROUNDDOWN(AA129,-2)))</f>
        <v>0</v>
      </c>
      <c r="AF129" s="138"/>
      <c r="AG129" s="138"/>
      <c r="AH129" s="88"/>
      <c r="AU129" s="137"/>
      <c r="AV129" s="132"/>
      <c r="AW129" s="132"/>
      <c r="AX129" s="132"/>
      <c r="AY129" s="132"/>
      <c r="AZ129" s="132"/>
      <c r="BA129" s="132"/>
      <c r="BB129" s="132"/>
      <c r="BC129" s="132"/>
      <c r="BD129" s="132"/>
      <c r="BE129" s="132"/>
      <c r="BG129" s="137"/>
      <c r="BH129" s="132"/>
      <c r="BI129" s="132"/>
      <c r="BJ129" s="132"/>
      <c r="BK129" s="132"/>
      <c r="BL129" s="132"/>
      <c r="BM129" s="132"/>
      <c r="BN129" s="132"/>
      <c r="BO129" s="132"/>
      <c r="BP129" s="132"/>
      <c r="BQ129" s="132"/>
      <c r="BR129" s="69"/>
      <c r="BS129" s="137"/>
      <c r="BT129" s="132"/>
      <c r="BU129" s="132"/>
      <c r="BV129" s="132"/>
      <c r="BW129" s="132"/>
      <c r="BX129" s="132"/>
      <c r="BY129" s="132"/>
      <c r="BZ129" s="132"/>
      <c r="CA129" s="132"/>
      <c r="CB129" s="132"/>
      <c r="CC129" s="132"/>
    </row>
    <row r="130" spans="2:81" ht="2.25" hidden="1" customHeight="1" x14ac:dyDescent="0.15">
      <c r="D130" s="81" t="s">
        <v>104</v>
      </c>
      <c r="E130" s="138">
        <f>IF($E$47="",0,ROUNDDOWN(SUMPRODUCT($T$47,$G$47,$AC$47),0))</f>
        <v>0</v>
      </c>
      <c r="F130" s="138"/>
      <c r="G130" s="138"/>
      <c r="H130" s="138">
        <f>IF($E$47="",0,ROUNDDOWN(ROUNDDOWN(SUMPRODUCT($T$47,$G$47,$AC$47),0)*$E$5%,0))</f>
        <v>0</v>
      </c>
      <c r="I130" s="138"/>
      <c r="J130" s="138"/>
      <c r="K130" s="138">
        <f>IF(E47="",0,IF($E$125=0,ROUNDDOWN(SUMPRODUCT($E$47,$AC$47,$AG$47),0),IF($E$124=0,ROUNDDOWN(SUMPRODUCT($E$47,$AC$47,$AH$47),0),IF($E$124=1,ROUNDDOWN(SUMPRODUCT($E$47,$AI$47,$AN$47),0),"ERROR"))))</f>
        <v>0</v>
      </c>
      <c r="L130" s="138"/>
      <c r="M130" s="138"/>
      <c r="N130" s="138">
        <f>IF(K130=0,0,$M$5)</f>
        <v>0</v>
      </c>
      <c r="O130" s="138"/>
      <c r="P130" s="138"/>
      <c r="Q130" s="138" t="str">
        <f>IF($AC$39=0,"軽減なし",$AC$39&amp;"割軽減")</f>
        <v>7割軽減</v>
      </c>
      <c r="R130" s="138"/>
      <c r="S130" s="138"/>
      <c r="T130" s="138">
        <f>IF(E125=1,K130,ROUNDUP(K130*$AD$39,0))</f>
        <v>0</v>
      </c>
      <c r="U130" s="138"/>
      <c r="V130" s="138"/>
      <c r="W130" s="138">
        <f>ROUNDUP(N130*$AE$39,0)</f>
        <v>0</v>
      </c>
      <c r="X130" s="138"/>
      <c r="Y130" s="138"/>
      <c r="Z130" s="78" t="s">
        <v>0</v>
      </c>
      <c r="AA130" s="138">
        <f>SUM(K130:P130,H130)-SUM(T130:Y130)</f>
        <v>0</v>
      </c>
      <c r="AB130" s="138"/>
      <c r="AC130" s="138"/>
      <c r="AD130" s="78" t="s">
        <v>8</v>
      </c>
      <c r="AE130" s="138">
        <f>IF($E$47="",0,IF(AA130&gt;$Q$6/12*$E$47,ROUNDDOWN($Q$6/12*$E$47,0),ROUNDDOWN(AA130,-2)))</f>
        <v>0</v>
      </c>
      <c r="AF130" s="138"/>
      <c r="AG130" s="138"/>
      <c r="AH130" s="88"/>
      <c r="AU130" s="36">
        <f t="shared" ref="AU130:AU134" si="24">IF(AND($AZ$142&gt;=AV130,$AZ$142&lt;=AZ130),1,0)</f>
        <v>1</v>
      </c>
      <c r="AV130" s="129">
        <v>0</v>
      </c>
      <c r="AW130" s="129"/>
      <c r="AX130" s="129"/>
      <c r="AY130" s="89" t="s">
        <v>37</v>
      </c>
      <c r="AZ130" s="129">
        <v>650999</v>
      </c>
      <c r="BA130" s="129"/>
      <c r="BB130" s="129"/>
      <c r="BC130" s="130">
        <f>IF(AU130=1,0,0)</f>
        <v>0</v>
      </c>
      <c r="BD130" s="130"/>
      <c r="BE130" s="130"/>
      <c r="BG130" s="36">
        <f>IF(AND($BL$142&gt;=BH130,$BL$142&lt;=BL130,$BN$146&lt;=10000000),1,(IF(AND($BL$142&gt;=BH130,$BL$142&lt;=BL130,$BN$146&gt;10000000,$BN$146&lt;=20000000),2,(IF(AND($BL$142&gt;=BH130,$BL$142&lt;=BL130,$BN$146&gt;20000000),3,0)))))</f>
        <v>1</v>
      </c>
      <c r="BH130" s="129">
        <v>0</v>
      </c>
      <c r="BI130" s="129"/>
      <c r="BJ130" s="129"/>
      <c r="BK130" s="71" t="s">
        <v>37</v>
      </c>
      <c r="BL130" s="129">
        <v>1299999</v>
      </c>
      <c r="BM130" s="129"/>
      <c r="BN130" s="129"/>
      <c r="BO130" s="130">
        <f>MAX(IF(BG130=1,BL142-600000,IF(BG130=2,BL142-500000,IF(BG130=3,BL142-400000,0))),)</f>
        <v>0</v>
      </c>
      <c r="BP130" s="130"/>
      <c r="BQ130" s="130"/>
      <c r="BR130" s="44"/>
      <c r="BS130" s="36">
        <f>IF(AND($BX$142&gt;=BT130,$BX$142&lt;=BX130,$BZ$146&lt;=10000000),1,(IF(AND($BX$142&gt;=BT130,$BX$142&lt;=BX130,$BZ$146&gt;10000000,$BZ$146&lt;=20000000),2,(IF(AND($BX$142&gt;=BT130,$BX$142&lt;=BX130,$BZ$146&gt;20000000),3,0)))))</f>
        <v>1</v>
      </c>
      <c r="BT130" s="129">
        <v>0</v>
      </c>
      <c r="BU130" s="129"/>
      <c r="BV130" s="129"/>
      <c r="BW130" s="71" t="s">
        <v>37</v>
      </c>
      <c r="BX130" s="129">
        <v>3299999</v>
      </c>
      <c r="BY130" s="129"/>
      <c r="BZ130" s="129"/>
      <c r="CA130" s="130">
        <f>MAX(IF(BS130=1,BX142-1100000,IF(BS130=2,BX142-1000000,IF(BS130=3,BX142-900000,0))),)</f>
        <v>0</v>
      </c>
      <c r="CB130" s="130"/>
      <c r="CC130" s="130"/>
    </row>
    <row r="131" spans="2:81" ht="2.25" hidden="1" customHeight="1" x14ac:dyDescent="0.15">
      <c r="B131" s="72" t="s">
        <v>49</v>
      </c>
      <c r="C131" s="72"/>
      <c r="D131" s="73"/>
      <c r="E131" s="74"/>
      <c r="F131" s="72"/>
      <c r="G131" s="72"/>
      <c r="H131" s="72"/>
      <c r="I131" s="74"/>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U131" s="36">
        <f t="shared" si="24"/>
        <v>0</v>
      </c>
      <c r="AV131" s="129">
        <v>651000</v>
      </c>
      <c r="AW131" s="129"/>
      <c r="AX131" s="129"/>
      <c r="AY131" s="89" t="s">
        <v>37</v>
      </c>
      <c r="AZ131" s="129">
        <v>1900000</v>
      </c>
      <c r="BA131" s="129"/>
      <c r="BB131" s="129"/>
      <c r="BC131" s="130">
        <f>IF(AU131=1,AZ142-650000,0)</f>
        <v>0</v>
      </c>
      <c r="BD131" s="130"/>
      <c r="BE131" s="130"/>
      <c r="BG131" s="36">
        <f t="shared" ref="BG131:BG133" si="25">IF(AND($BL$142&gt;=BH131,$BL$142&lt;=BL131,$BN$146&lt;=10000000),1,(IF(AND($BL$142&gt;=BH131,$BL$142&lt;=BL131,$BN$146&gt;10000000,$BN$146&lt;=20000000),2,(IF(AND($BL$142&gt;=BH131,$BL$142&lt;=BL131,$BN$146&gt;20000000),3,0)))))</f>
        <v>0</v>
      </c>
      <c r="BH131" s="129">
        <v>1300000</v>
      </c>
      <c r="BI131" s="129"/>
      <c r="BJ131" s="129"/>
      <c r="BK131" s="71" t="s">
        <v>37</v>
      </c>
      <c r="BL131" s="129">
        <v>4099999</v>
      </c>
      <c r="BM131" s="129"/>
      <c r="BN131" s="129"/>
      <c r="BO131" s="130">
        <f>IF(BG131=1,BL142*0.75-275000,IF(BG131=2,BL142*0.75-175000,IF(BG131=3,BL142*0.75-75000,0)))</f>
        <v>0</v>
      </c>
      <c r="BP131" s="130"/>
      <c r="BQ131" s="130"/>
      <c r="BR131" s="44"/>
      <c r="BS131" s="36">
        <f t="shared" ref="BS131:BS133" si="26">IF(AND($BX$142&gt;=BT131,$BX$142&lt;=BX131,$BZ$146&lt;=10000000),1,(IF(AND($BX$142&gt;=BT131,$BX$142&lt;=BX131,$BZ$146&gt;10000000,$BZ$146&lt;=20000000),2,(IF(AND($BX$142&gt;=BT131,$BX$142&lt;=BX131,$BZ$146&gt;20000000),3,0)))))</f>
        <v>0</v>
      </c>
      <c r="BT131" s="129">
        <v>3300000</v>
      </c>
      <c r="BU131" s="129"/>
      <c r="BV131" s="129"/>
      <c r="BW131" s="71" t="s">
        <v>37</v>
      </c>
      <c r="BX131" s="129">
        <v>4099999</v>
      </c>
      <c r="BY131" s="129"/>
      <c r="BZ131" s="129"/>
      <c r="CA131" s="130">
        <f>IF(BS131=1,BX142*0.75-275000,IF(BS131=2,BX142*0.75-175000,IF(BS131=3,BX142*0.75-75000,0)))</f>
        <v>0</v>
      </c>
      <c r="CB131" s="130"/>
      <c r="CC131" s="130"/>
    </row>
    <row r="132" spans="2:81" ht="2.25" hidden="1" customHeight="1" x14ac:dyDescent="0.15">
      <c r="B132" s="72"/>
      <c r="C132" s="72"/>
      <c r="D132" s="75"/>
      <c r="E132" s="141" t="s">
        <v>20</v>
      </c>
      <c r="F132" s="142"/>
      <c r="G132" s="142"/>
      <c r="H132" s="140" t="s">
        <v>7</v>
      </c>
      <c r="I132" s="140"/>
      <c r="J132" s="140"/>
      <c r="K132" s="140" t="s">
        <v>28</v>
      </c>
      <c r="L132" s="140"/>
      <c r="M132" s="140"/>
      <c r="N132" s="140" t="s">
        <v>29</v>
      </c>
      <c r="O132" s="140"/>
      <c r="P132" s="140"/>
      <c r="Q132" s="140" t="s">
        <v>6</v>
      </c>
      <c r="R132" s="140"/>
      <c r="S132" s="140"/>
      <c r="T132" s="143" t="s">
        <v>71</v>
      </c>
      <c r="U132" s="140"/>
      <c r="V132" s="140"/>
      <c r="W132" s="143" t="s">
        <v>72</v>
      </c>
      <c r="X132" s="140"/>
      <c r="Y132" s="140"/>
      <c r="Z132" s="72"/>
      <c r="AA132" s="140" t="s">
        <v>73</v>
      </c>
      <c r="AB132" s="140"/>
      <c r="AC132" s="140"/>
      <c r="AD132" s="75"/>
      <c r="AE132" s="140" t="s">
        <v>74</v>
      </c>
      <c r="AF132" s="140"/>
      <c r="AG132" s="140"/>
      <c r="AH132" s="92"/>
      <c r="AU132" s="36">
        <f t="shared" si="24"/>
        <v>0</v>
      </c>
      <c r="AV132" s="129">
        <v>1900001</v>
      </c>
      <c r="AW132" s="129"/>
      <c r="AX132" s="129"/>
      <c r="AY132" s="93" t="s">
        <v>37</v>
      </c>
      <c r="AZ132" s="129">
        <v>3599999</v>
      </c>
      <c r="BA132" s="129"/>
      <c r="BB132" s="129"/>
      <c r="BC132" s="130">
        <f>IF(AU132=1,ROUNDDOWN(AZ142/4,-3)*2.8-80000,0)</f>
        <v>0</v>
      </c>
      <c r="BD132" s="130"/>
      <c r="BE132" s="130"/>
      <c r="BG132" s="36">
        <f t="shared" si="25"/>
        <v>0</v>
      </c>
      <c r="BH132" s="129">
        <v>4100000</v>
      </c>
      <c r="BI132" s="129"/>
      <c r="BJ132" s="129"/>
      <c r="BK132" s="71" t="s">
        <v>37</v>
      </c>
      <c r="BL132" s="129">
        <v>7699999</v>
      </c>
      <c r="BM132" s="129"/>
      <c r="BN132" s="129"/>
      <c r="BO132" s="130">
        <f>IF(BG132=1,BL142*0.85-685000,IF(BG132=2,BL142*0.85-585000,IF(BG132=3,BL142*0.85-485000,0)))</f>
        <v>0</v>
      </c>
      <c r="BP132" s="130"/>
      <c r="BQ132" s="130"/>
      <c r="BR132" s="44"/>
      <c r="BS132" s="36">
        <f t="shared" si="26"/>
        <v>0</v>
      </c>
      <c r="BT132" s="129">
        <v>4100000</v>
      </c>
      <c r="BU132" s="129"/>
      <c r="BV132" s="129"/>
      <c r="BW132" s="71" t="s">
        <v>37</v>
      </c>
      <c r="BX132" s="129">
        <v>7699999</v>
      </c>
      <c r="BY132" s="129"/>
      <c r="BZ132" s="129"/>
      <c r="CA132" s="130">
        <f>IF(BS132=1,BX142*0.85-685000,IF(BS132=2,BX142*0.85-585000,IF(BS132=3,BX142*0.85-485000,0)))</f>
        <v>0</v>
      </c>
      <c r="CB132" s="130"/>
      <c r="CC132" s="130"/>
    </row>
    <row r="133" spans="2:81" ht="2.25" hidden="1" customHeight="1" x14ac:dyDescent="0.15">
      <c r="B133" s="72"/>
      <c r="C133" s="72"/>
      <c r="D133" s="75" t="s">
        <v>1</v>
      </c>
      <c r="E133" s="139" t="e">
        <f>E71+E79+E87+E95+E103+E111+E119+E127</f>
        <v>#VALUE!</v>
      </c>
      <c r="F133" s="139"/>
      <c r="G133" s="139"/>
      <c r="H133" s="139" t="e">
        <f>H71+H79+H87+H95+H103+H111+H119+H127</f>
        <v>#VALUE!</v>
      </c>
      <c r="I133" s="139"/>
      <c r="J133" s="139"/>
      <c r="K133" s="139" t="e">
        <f>K71+K79+K87+K95+K103+K111+K119+K127</f>
        <v>#VALUE!</v>
      </c>
      <c r="L133" s="139"/>
      <c r="M133" s="139"/>
      <c r="N133" s="139" t="e">
        <f>N71+N79+N87+N95+N103+N111+N119+N127</f>
        <v>#DIV/0!</v>
      </c>
      <c r="O133" s="139"/>
      <c r="P133" s="139"/>
      <c r="Q133" s="139" t="str">
        <f>IF($AC$39=0,"軽減なし",$AC$39&amp;"割軽減")</f>
        <v>7割軽減</v>
      </c>
      <c r="R133" s="139"/>
      <c r="S133" s="139"/>
      <c r="T133" s="139" t="e">
        <f>T71+T79+T87+T95+T103+T111+T119+T127</f>
        <v>#VALUE!</v>
      </c>
      <c r="U133" s="139"/>
      <c r="V133" s="139"/>
      <c r="W133" s="139" t="e">
        <f>W71+W79+W87+W95+W103+W111+W119+W127</f>
        <v>#DIV/0!</v>
      </c>
      <c r="X133" s="139"/>
      <c r="Y133" s="139"/>
      <c r="Z133" s="76" t="s">
        <v>0</v>
      </c>
      <c r="AA133" s="139" t="e">
        <f>AA71+AA79+AA87+AA95+AA103+AA111+AA119+AA127</f>
        <v>#VALUE!</v>
      </c>
      <c r="AB133" s="139"/>
      <c r="AC133" s="139"/>
      <c r="AD133" s="76" t="s">
        <v>8</v>
      </c>
      <c r="AE133" s="138" t="e">
        <f>IF(AA133&gt;Q3/12*MAX(E40:F47),ROUNDDOWN(Q3/12*MAX(E40:F47),0),ROUNDDOWN(AA133,-2))</f>
        <v>#VALUE!</v>
      </c>
      <c r="AF133" s="138"/>
      <c r="AG133" s="138"/>
      <c r="AH133" s="88"/>
      <c r="AU133" s="36">
        <f t="shared" si="24"/>
        <v>0</v>
      </c>
      <c r="AV133" s="129">
        <v>3600000</v>
      </c>
      <c r="AW133" s="129"/>
      <c r="AX133" s="129"/>
      <c r="AY133" s="93" t="s">
        <v>37</v>
      </c>
      <c r="AZ133" s="129">
        <v>6599999</v>
      </c>
      <c r="BA133" s="129"/>
      <c r="BB133" s="129"/>
      <c r="BC133" s="130">
        <f>IF(AU133=1,ROUNDDOWN(AZ142/4,-3)*3.2-440000,0)</f>
        <v>0</v>
      </c>
      <c r="BD133" s="130"/>
      <c r="BE133" s="130"/>
      <c r="BG133" s="36">
        <f t="shared" si="25"/>
        <v>0</v>
      </c>
      <c r="BH133" s="129">
        <v>7700000</v>
      </c>
      <c r="BI133" s="129"/>
      <c r="BJ133" s="129"/>
      <c r="BK133" s="71" t="s">
        <v>37</v>
      </c>
      <c r="BL133" s="129">
        <v>9999999</v>
      </c>
      <c r="BM133" s="129"/>
      <c r="BN133" s="129"/>
      <c r="BO133" s="130">
        <f>IF(BG133=1,BL142*0.95-1455000,IF(BG133=2,BL142*0.95-1355000,IF(BG133=3,BL142*0.95-1255000,0)))</f>
        <v>0</v>
      </c>
      <c r="BP133" s="130"/>
      <c r="BQ133" s="130"/>
      <c r="BR133" s="44"/>
      <c r="BS133" s="36">
        <f t="shared" si="26"/>
        <v>0</v>
      </c>
      <c r="BT133" s="129">
        <v>7700000</v>
      </c>
      <c r="BU133" s="129"/>
      <c r="BV133" s="129"/>
      <c r="BW133" s="71" t="s">
        <v>37</v>
      </c>
      <c r="BX133" s="129">
        <v>9999999</v>
      </c>
      <c r="BY133" s="129"/>
      <c r="BZ133" s="129"/>
      <c r="CA133" s="130">
        <f>IF(BS133=1,BX142*0.95-1455000,IF(BS133=2,BX142*0.95-1355000,IF(BS133=3,BX142*0.95-1255000,0)))</f>
        <v>0</v>
      </c>
      <c r="CB133" s="130"/>
      <c r="CC133" s="130"/>
    </row>
    <row r="134" spans="2:81" ht="2.25" hidden="1" customHeight="1" x14ac:dyDescent="0.15">
      <c r="B134" s="72"/>
      <c r="C134" s="72"/>
      <c r="D134" s="75" t="s">
        <v>2</v>
      </c>
      <c r="E134" s="139" t="e">
        <f>E72+E80+E88+E96+E104+E112+E120+E128</f>
        <v>#VALUE!</v>
      </c>
      <c r="F134" s="139"/>
      <c r="G134" s="139"/>
      <c r="H134" s="139" t="e">
        <f>H72+H80+H88+H96+H104+H112+H120+H128</f>
        <v>#VALUE!</v>
      </c>
      <c r="I134" s="139"/>
      <c r="J134" s="139"/>
      <c r="K134" s="139" t="e">
        <f>K72+K80+K88+K96+K104+K112+K120+K128</f>
        <v>#VALUE!</v>
      </c>
      <c r="L134" s="139"/>
      <c r="M134" s="139"/>
      <c r="N134" s="139" t="e">
        <f>N72+N80+N88+N96+N104+N112+N120+N128</f>
        <v>#DIV/0!</v>
      </c>
      <c r="O134" s="139"/>
      <c r="P134" s="139"/>
      <c r="Q134" s="139" t="str">
        <f>IF($AC$39=0,"軽減なし",$AC$39&amp;"割軽減")</f>
        <v>7割軽減</v>
      </c>
      <c r="R134" s="139"/>
      <c r="S134" s="139"/>
      <c r="T134" s="139" t="e">
        <f>T72+T80+T88+T96+T104+T112+T120+T128</f>
        <v>#VALUE!</v>
      </c>
      <c r="U134" s="139"/>
      <c r="V134" s="139"/>
      <c r="W134" s="139" t="e">
        <f>W72+W80+W88+W96+W104+W112+W120+W128</f>
        <v>#DIV/0!</v>
      </c>
      <c r="X134" s="139"/>
      <c r="Y134" s="139"/>
      <c r="Z134" s="76" t="s">
        <v>0</v>
      </c>
      <c r="AA134" s="139" t="e">
        <f>AA72+AA80+AA88+AA96+AA104+AA112+AA120+AA128</f>
        <v>#VALUE!</v>
      </c>
      <c r="AB134" s="139"/>
      <c r="AC134" s="139"/>
      <c r="AD134" s="76" t="s">
        <v>8</v>
      </c>
      <c r="AE134" s="138" t="e">
        <f>IF(AA134&gt;Q4/12*MAX(E40:F47),ROUNDDOWN(Q4/12*MAX(E40:F47),0),ROUNDDOWN(AA134,-2))</f>
        <v>#VALUE!</v>
      </c>
      <c r="AF134" s="138"/>
      <c r="AG134" s="138"/>
      <c r="AH134" s="88"/>
      <c r="AU134" s="36">
        <f t="shared" si="24"/>
        <v>0</v>
      </c>
      <c r="AV134" s="129">
        <v>6600000</v>
      </c>
      <c r="AW134" s="129"/>
      <c r="AX134" s="129"/>
      <c r="AY134" s="93" t="s">
        <v>37</v>
      </c>
      <c r="AZ134" s="129">
        <v>8499999</v>
      </c>
      <c r="BA134" s="129"/>
      <c r="BB134" s="129"/>
      <c r="BC134" s="130">
        <f>IF(AU134=1,AZ142*0.9-1100000,0)</f>
        <v>0</v>
      </c>
      <c r="BD134" s="130"/>
      <c r="BE134" s="130"/>
      <c r="BG134" s="36">
        <f>IF(AND($BL$142&gt;=BH134,$BN$146&lt;=10000000),1,(IF(AND($BL$142&gt;=BH134,$BN$146&gt;10000000,$BN$146&lt;=20000000),2,(IF(AND($BL$142&gt;=BH134,$BN$146&gt;20000000),3,0)))))</f>
        <v>0</v>
      </c>
      <c r="BH134" s="129">
        <v>10000000</v>
      </c>
      <c r="BI134" s="129"/>
      <c r="BJ134" s="129"/>
      <c r="BK134" s="71" t="s">
        <v>37</v>
      </c>
      <c r="BL134" s="129"/>
      <c r="BM134" s="129"/>
      <c r="BN134" s="129"/>
      <c r="BO134" s="130">
        <f>IF(BG134=1,BL142-1955000,IF(BG134=2,BL142-1855000,IF(BG134=3,BL142-1755000,0)))</f>
        <v>0</v>
      </c>
      <c r="BP134" s="130"/>
      <c r="BQ134" s="130"/>
      <c r="BR134" s="44"/>
      <c r="BS134" s="36">
        <f>IF(AND($BX$142&gt;=BT134,$BZ$146&lt;=10000000),1,(IF(AND($BX$142&gt;=BT134,$BZ$146&gt;10000000,$BZ$146&lt;=20000000),2,(IF(AND($BX$142&gt;=BT134,$BZ$146&gt;20000000),3,0)))))</f>
        <v>0</v>
      </c>
      <c r="BT134" s="129">
        <v>10000000</v>
      </c>
      <c r="BU134" s="129"/>
      <c r="BV134" s="129"/>
      <c r="BW134" s="71" t="s">
        <v>37</v>
      </c>
      <c r="BX134" s="129"/>
      <c r="BY134" s="129"/>
      <c r="BZ134" s="129"/>
      <c r="CA134" s="130">
        <f>IF(BS134=1,BX142-1955000,IF(BS134=2,BX142-1855000,IF(BS134=3,BX142-1755000,0)))</f>
        <v>0</v>
      </c>
      <c r="CB134" s="130"/>
      <c r="CC134" s="130"/>
    </row>
    <row r="135" spans="2:81" ht="2.25" hidden="1" customHeight="1" x14ac:dyDescent="0.15">
      <c r="B135" s="72"/>
      <c r="C135" s="72"/>
      <c r="D135" s="75" t="s">
        <v>3</v>
      </c>
      <c r="E135" s="139" t="e">
        <f>E73+E81+E89+E97+E105+E113+E121+E129</f>
        <v>#VALUE!</v>
      </c>
      <c r="F135" s="139"/>
      <c r="G135" s="139"/>
      <c r="H135" s="139" t="e">
        <f>H73+H81+H89+H97+H105+H113+H121+H129</f>
        <v>#VALUE!</v>
      </c>
      <c r="I135" s="139"/>
      <c r="J135" s="139"/>
      <c r="K135" s="139" t="e">
        <f>K73+K81+K89+K97+K105+K113+K121+K129</f>
        <v>#VALUE!</v>
      </c>
      <c r="L135" s="139"/>
      <c r="M135" s="139"/>
      <c r="N135" s="139" t="e">
        <f>N73+N81+N89+N97+N105+N113+N121+N129</f>
        <v>#VALUE!</v>
      </c>
      <c r="O135" s="139"/>
      <c r="P135" s="139"/>
      <c r="Q135" s="139" t="str">
        <f>IF($AC$39=0,"軽減なし",$AC$39&amp;"割軽減")</f>
        <v>7割軽減</v>
      </c>
      <c r="R135" s="139"/>
      <c r="S135" s="139"/>
      <c r="T135" s="139" t="e">
        <f>T73+T81+T89+T97+T105+T113+T121+T129</f>
        <v>#VALUE!</v>
      </c>
      <c r="U135" s="139"/>
      <c r="V135" s="139"/>
      <c r="W135" s="139" t="e">
        <f>W73+W81+W89+W97+W105+W113+W121+W129</f>
        <v>#VALUE!</v>
      </c>
      <c r="X135" s="139"/>
      <c r="Y135" s="139"/>
      <c r="Z135" s="76" t="s">
        <v>0</v>
      </c>
      <c r="AA135" s="139" t="e">
        <f>AA73+AA81+AA89+AA97+AA105+AA113+AA121+AA129</f>
        <v>#VALUE!</v>
      </c>
      <c r="AB135" s="139"/>
      <c r="AC135" s="139"/>
      <c r="AD135" s="76" t="s">
        <v>8</v>
      </c>
      <c r="AE135" s="138" t="e">
        <f>IF(AA135&gt;Q5/12*MAX(G40:H47),ROUNDDOWN(Q5/12*MAX(G40:H47),0),ROUNDDOWN(AA135,-2))</f>
        <v>#VALUE!</v>
      </c>
      <c r="AF135" s="138"/>
      <c r="AG135" s="138"/>
      <c r="AH135" s="88"/>
      <c r="AU135" s="36">
        <f>IF($AZ$142&gt;=AV135,1,0)</f>
        <v>0</v>
      </c>
      <c r="AV135" s="129">
        <v>8500000</v>
      </c>
      <c r="AW135" s="129"/>
      <c r="AX135" s="129"/>
      <c r="AY135" s="93" t="s">
        <v>37</v>
      </c>
      <c r="AZ135" s="129"/>
      <c r="BA135" s="129"/>
      <c r="BB135" s="129"/>
      <c r="BC135" s="130">
        <f>IF(AU135=1,AZ142-1950000,0)</f>
        <v>0</v>
      </c>
      <c r="BD135" s="130"/>
      <c r="BE135" s="130"/>
      <c r="BG135" s="36"/>
      <c r="BH135" s="129"/>
      <c r="BI135" s="129"/>
      <c r="BJ135" s="129"/>
      <c r="BK135" s="71" t="s">
        <v>37</v>
      </c>
      <c r="BL135" s="129"/>
      <c r="BM135" s="129"/>
      <c r="BN135" s="129"/>
      <c r="BO135" s="130"/>
      <c r="BP135" s="130"/>
      <c r="BQ135" s="130"/>
      <c r="BR135" s="44"/>
      <c r="BS135" s="36"/>
      <c r="BT135" s="129"/>
      <c r="BU135" s="129"/>
      <c r="BV135" s="129"/>
      <c r="BW135" s="71" t="s">
        <v>37</v>
      </c>
      <c r="BX135" s="129"/>
      <c r="BY135" s="129"/>
      <c r="BZ135" s="129"/>
      <c r="CA135" s="130"/>
      <c r="CB135" s="130"/>
      <c r="CC135" s="130"/>
    </row>
    <row r="136" spans="2:81" ht="2.25" hidden="1" customHeight="1" x14ac:dyDescent="0.15">
      <c r="B136" s="72"/>
      <c r="C136" s="72"/>
      <c r="D136" s="81" t="s">
        <v>104</v>
      </c>
      <c r="E136" s="139" t="e">
        <f>E74+E82+E90+E98+E106+E114+E122+E130</f>
        <v>#VALUE!</v>
      </c>
      <c r="F136" s="139"/>
      <c r="G136" s="139"/>
      <c r="H136" s="139" t="e">
        <f>H74+H82+H90+H98+H106+H114+H122+H130</f>
        <v>#VALUE!</v>
      </c>
      <c r="I136" s="139"/>
      <c r="J136" s="139"/>
      <c r="K136" s="139" t="e">
        <f>K74+K82+K90+K98+K106+K114+K122+K130</f>
        <v>#VALUE!</v>
      </c>
      <c r="L136" s="139"/>
      <c r="M136" s="139"/>
      <c r="N136" s="139" t="e">
        <f>N74+N82+N90+N98+N106+N114+N122+N130</f>
        <v>#DIV/0!</v>
      </c>
      <c r="O136" s="139"/>
      <c r="P136" s="139"/>
      <c r="Q136" s="139" t="str">
        <f>IF($AC$39=0,"軽減なし",$AC$39&amp;"割軽減")</f>
        <v>7割軽減</v>
      </c>
      <c r="R136" s="139"/>
      <c r="S136" s="139"/>
      <c r="T136" s="139" t="e">
        <f>T74+T82+T90+T98+T106+T114+T122+T130</f>
        <v>#VALUE!</v>
      </c>
      <c r="U136" s="139"/>
      <c r="V136" s="139"/>
      <c r="W136" s="139" t="e">
        <f>W74+W82+W90+W98+W106+W114+W122+W130</f>
        <v>#DIV/0!</v>
      </c>
      <c r="X136" s="139"/>
      <c r="Y136" s="139"/>
      <c r="Z136" s="80" t="s">
        <v>0</v>
      </c>
      <c r="AA136" s="139" t="e">
        <f>AA74+AA82+AA90+AA98+AA106+AA114+AA122+AA130</f>
        <v>#VALUE!</v>
      </c>
      <c r="AB136" s="139"/>
      <c r="AC136" s="139"/>
      <c r="AD136" s="80" t="s">
        <v>8</v>
      </c>
      <c r="AE136" s="138" t="e">
        <f>IF(AA136&gt;Q6/12*MAX(E40:F47),ROUNDDOWN(Q6/12*MAX(E40:F47),0),ROUNDDOWN(AA136,-2))</f>
        <v>#VALUE!</v>
      </c>
      <c r="AF136" s="138"/>
      <c r="AG136" s="138"/>
      <c r="AH136" s="88"/>
      <c r="AU136" s="36"/>
      <c r="AV136" s="129"/>
      <c r="AW136" s="129"/>
      <c r="AX136" s="129"/>
      <c r="AY136" s="89" t="s">
        <v>37</v>
      </c>
      <c r="AZ136" s="129"/>
      <c r="BA136" s="129"/>
      <c r="BB136" s="129"/>
      <c r="BC136" s="130"/>
      <c r="BD136" s="130"/>
      <c r="BE136" s="130"/>
      <c r="BG136" s="36"/>
      <c r="BH136" s="129"/>
      <c r="BI136" s="129"/>
      <c r="BJ136" s="129"/>
      <c r="BK136" s="71" t="s">
        <v>37</v>
      </c>
      <c r="BL136" s="129"/>
      <c r="BM136" s="129"/>
      <c r="BN136" s="129"/>
      <c r="BO136" s="130"/>
      <c r="BP136" s="130"/>
      <c r="BQ136" s="130"/>
      <c r="BR136" s="44"/>
      <c r="BS136" s="36"/>
      <c r="BT136" s="129"/>
      <c r="BU136" s="129"/>
      <c r="BV136" s="129"/>
      <c r="BW136" s="71" t="s">
        <v>37</v>
      </c>
      <c r="BX136" s="129"/>
      <c r="BY136" s="129"/>
      <c r="BZ136" s="129"/>
      <c r="CA136" s="130"/>
      <c r="CB136" s="130"/>
      <c r="CC136" s="130"/>
    </row>
    <row r="137" spans="2:81" ht="17.25" customHeight="1" x14ac:dyDescent="0.15">
      <c r="AU137" s="36"/>
      <c r="AV137" s="129"/>
      <c r="AW137" s="129"/>
      <c r="AX137" s="129"/>
      <c r="AY137" s="89" t="s">
        <v>37</v>
      </c>
      <c r="AZ137" s="129"/>
      <c r="BA137" s="129"/>
      <c r="BB137" s="129"/>
      <c r="BC137" s="130"/>
      <c r="BD137" s="130"/>
      <c r="BE137" s="130"/>
      <c r="BG137" s="36"/>
      <c r="BH137" s="129"/>
      <c r="BI137" s="129"/>
      <c r="BJ137" s="129"/>
      <c r="BK137" s="71" t="s">
        <v>37</v>
      </c>
      <c r="BL137" s="129"/>
      <c r="BM137" s="129"/>
      <c r="BN137" s="129"/>
      <c r="BO137" s="130"/>
      <c r="BP137" s="130"/>
      <c r="BQ137" s="130"/>
      <c r="BR137" s="44"/>
      <c r="BS137" s="36"/>
      <c r="BT137" s="129"/>
      <c r="BU137" s="129"/>
      <c r="BV137" s="129"/>
      <c r="BW137" s="71" t="s">
        <v>37</v>
      </c>
      <c r="BX137" s="129"/>
      <c r="BY137" s="129"/>
      <c r="BZ137" s="129"/>
      <c r="CA137" s="130"/>
      <c r="CB137" s="130"/>
      <c r="CC137" s="130"/>
    </row>
    <row r="138" spans="2:81" x14ac:dyDescent="0.15">
      <c r="AU138" s="36"/>
      <c r="AV138" s="129"/>
      <c r="AW138" s="129"/>
      <c r="AX138" s="129"/>
      <c r="AY138" s="89" t="s">
        <v>37</v>
      </c>
      <c r="AZ138" s="129"/>
      <c r="BA138" s="129"/>
      <c r="BB138" s="129"/>
      <c r="BC138" s="130"/>
      <c r="BD138" s="130"/>
      <c r="BE138" s="130"/>
      <c r="BG138" s="36"/>
      <c r="BH138" s="129"/>
      <c r="BI138" s="129"/>
      <c r="BJ138" s="129"/>
      <c r="BK138" s="71" t="s">
        <v>37</v>
      </c>
      <c r="BL138" s="129"/>
      <c r="BM138" s="129"/>
      <c r="BN138" s="129"/>
      <c r="BO138" s="130"/>
      <c r="BP138" s="130"/>
      <c r="BQ138" s="130"/>
      <c r="BR138" s="44"/>
      <c r="BS138" s="36"/>
      <c r="BT138" s="129"/>
      <c r="BU138" s="129"/>
      <c r="BV138" s="129"/>
      <c r="BW138" s="71" t="s">
        <v>37</v>
      </c>
      <c r="BX138" s="129"/>
      <c r="BY138" s="129"/>
      <c r="BZ138" s="129"/>
      <c r="CA138" s="130"/>
      <c r="CB138" s="130"/>
      <c r="CC138" s="130"/>
    </row>
    <row r="139" spans="2:81" x14ac:dyDescent="0.15">
      <c r="AU139" s="36"/>
      <c r="AV139" s="129"/>
      <c r="AW139" s="129"/>
      <c r="AX139" s="129"/>
      <c r="AY139" s="89" t="s">
        <v>37</v>
      </c>
      <c r="AZ139" s="129"/>
      <c r="BA139" s="129"/>
      <c r="BB139" s="129"/>
      <c r="BC139" s="130"/>
      <c r="BD139" s="130"/>
      <c r="BE139" s="130"/>
      <c r="BG139" s="36"/>
      <c r="BH139" s="129"/>
      <c r="BI139" s="129"/>
      <c r="BJ139" s="129"/>
      <c r="BK139" s="71" t="s">
        <v>37</v>
      </c>
      <c r="BL139" s="129"/>
      <c r="BM139" s="129"/>
      <c r="BN139" s="129"/>
      <c r="BO139" s="130"/>
      <c r="BP139" s="130"/>
      <c r="BQ139" s="130"/>
      <c r="BR139" s="44"/>
      <c r="BS139" s="36"/>
      <c r="BT139" s="129"/>
      <c r="BU139" s="129"/>
      <c r="BV139" s="129"/>
      <c r="BW139" s="71" t="s">
        <v>37</v>
      </c>
      <c r="BX139" s="129"/>
      <c r="BY139" s="129"/>
      <c r="BZ139" s="129"/>
      <c r="CA139" s="130"/>
      <c r="CB139" s="130"/>
      <c r="CC139" s="130"/>
    </row>
    <row r="140" spans="2:81" x14ac:dyDescent="0.15">
      <c r="AU140" s="36"/>
      <c r="AV140" s="129"/>
      <c r="AW140" s="129"/>
      <c r="AX140" s="129"/>
      <c r="AY140" s="89" t="s">
        <v>37</v>
      </c>
      <c r="AZ140" s="129"/>
      <c r="BA140" s="129"/>
      <c r="BB140" s="129"/>
      <c r="BC140" s="130"/>
      <c r="BD140" s="130"/>
      <c r="BE140" s="130"/>
      <c r="BG140" s="36"/>
      <c r="BH140" s="129"/>
      <c r="BI140" s="129"/>
      <c r="BJ140" s="129"/>
      <c r="BK140" s="71" t="s">
        <v>37</v>
      </c>
      <c r="BL140" s="129"/>
      <c r="BM140" s="129"/>
      <c r="BN140" s="129"/>
      <c r="BO140" s="130"/>
      <c r="BP140" s="130"/>
      <c r="BQ140" s="130"/>
      <c r="BR140" s="44"/>
      <c r="BS140" s="36"/>
      <c r="BT140" s="129"/>
      <c r="BU140" s="129"/>
      <c r="BV140" s="129"/>
      <c r="BW140" s="71" t="s">
        <v>37</v>
      </c>
      <c r="BX140" s="129"/>
      <c r="BY140" s="129"/>
      <c r="BZ140" s="129"/>
      <c r="CA140" s="130"/>
      <c r="CB140" s="130"/>
      <c r="CC140" s="130"/>
    </row>
    <row r="141" spans="2:81" x14ac:dyDescent="0.15">
      <c r="AU141" s="70"/>
      <c r="AV141" s="41"/>
      <c r="AW141" s="41"/>
      <c r="AX141" s="41"/>
      <c r="AY141" s="70"/>
      <c r="AZ141" s="33"/>
      <c r="BA141" s="33"/>
      <c r="BB141" s="33"/>
      <c r="BC141" s="38"/>
      <c r="BD141" s="38"/>
      <c r="BE141" s="38"/>
      <c r="BG141" s="70"/>
      <c r="BH141" s="41"/>
      <c r="BI141" s="41"/>
      <c r="BJ141" s="41"/>
      <c r="BK141" s="70"/>
      <c r="BL141" s="33"/>
      <c r="BM141" s="33"/>
      <c r="BN141" s="33"/>
      <c r="BO141" s="38"/>
      <c r="BP141" s="38"/>
      <c r="BQ141" s="38"/>
      <c r="BR141" s="38"/>
      <c r="BS141" s="70"/>
      <c r="BT141" s="41"/>
      <c r="BU141" s="41"/>
      <c r="BV141" s="41"/>
      <c r="BW141" s="70"/>
      <c r="BX141" s="33"/>
      <c r="BY141" s="33"/>
      <c r="BZ141" s="33"/>
      <c r="CA141" s="38"/>
      <c r="CB141" s="38"/>
      <c r="CC141" s="38"/>
    </row>
    <row r="142" spans="2:81" x14ac:dyDescent="0.15">
      <c r="AU142" s="70"/>
      <c r="AV142" s="120" t="s">
        <v>31</v>
      </c>
      <c r="AW142" s="120"/>
      <c r="AX142" s="120"/>
      <c r="AY142" s="120"/>
      <c r="AZ142" s="121">
        <f>F26</f>
        <v>0</v>
      </c>
      <c r="BA142" s="122"/>
      <c r="BB142" s="123"/>
      <c r="BC142" s="39"/>
      <c r="BD142" s="40"/>
      <c r="BE142" s="40"/>
      <c r="BG142" s="70"/>
      <c r="BH142" s="120" t="s">
        <v>43</v>
      </c>
      <c r="BI142" s="120"/>
      <c r="BJ142" s="120"/>
      <c r="BK142" s="120"/>
      <c r="BL142" s="124">
        <f>J26</f>
        <v>0</v>
      </c>
      <c r="BM142" s="124"/>
      <c r="BN142" s="124"/>
      <c r="BO142" s="39"/>
      <c r="BP142" s="40"/>
      <c r="BQ142" s="40"/>
      <c r="BR142" s="40"/>
      <c r="BS142" s="70"/>
      <c r="BT142" s="120" t="s">
        <v>43</v>
      </c>
      <c r="BU142" s="120"/>
      <c r="BV142" s="120"/>
      <c r="BW142" s="120"/>
      <c r="BX142" s="124">
        <f>BL142</f>
        <v>0</v>
      </c>
      <c r="BY142" s="124"/>
      <c r="BZ142" s="124"/>
      <c r="CA142" s="39"/>
      <c r="CB142" s="40"/>
      <c r="CC142" s="40"/>
    </row>
    <row r="143" spans="2:81" x14ac:dyDescent="0.15">
      <c r="AV143" s="120" t="s">
        <v>42</v>
      </c>
      <c r="AW143" s="120"/>
      <c r="AX143" s="120"/>
      <c r="AY143" s="120"/>
      <c r="AZ143" s="127">
        <f>SUM(BC130:BE140)</f>
        <v>0</v>
      </c>
      <c r="BA143" s="125"/>
      <c r="BB143" s="125"/>
      <c r="BH143" s="120" t="s">
        <v>44</v>
      </c>
      <c r="BI143" s="120"/>
      <c r="BJ143" s="120"/>
      <c r="BK143" s="120"/>
      <c r="BL143" s="127">
        <f>SUM(BO130:BQ140)</f>
        <v>0</v>
      </c>
      <c r="BM143" s="125"/>
      <c r="BN143" s="125"/>
      <c r="BO143" s="57">
        <f>IF(D26&lt;65,1,0)</f>
        <v>1</v>
      </c>
      <c r="BT143" s="120" t="s">
        <v>44</v>
      </c>
      <c r="BU143" s="120"/>
      <c r="BV143" s="120"/>
      <c r="BW143" s="120"/>
      <c r="BX143" s="127">
        <f>SUM(CA130:CC140)</f>
        <v>0</v>
      </c>
      <c r="BY143" s="125"/>
      <c r="BZ143" s="125"/>
      <c r="CA143" s="57">
        <f>IF(D26&lt;65,0,1)</f>
        <v>0</v>
      </c>
    </row>
    <row r="144" spans="2:81" x14ac:dyDescent="0.15">
      <c r="BL144" s="42"/>
      <c r="BM144" s="42"/>
      <c r="BN144" s="42"/>
      <c r="BX144" s="42"/>
      <c r="BY144" s="42"/>
      <c r="BZ144" s="42"/>
    </row>
    <row r="145" spans="47:81" x14ac:dyDescent="0.15">
      <c r="BG145" s="125" t="s">
        <v>45</v>
      </c>
      <c r="BH145" s="125"/>
      <c r="BI145" s="125"/>
      <c r="BJ145" s="125"/>
      <c r="BK145" s="125"/>
      <c r="BL145" s="125"/>
      <c r="BM145" s="125"/>
      <c r="BN145" s="125"/>
      <c r="BO145" s="125"/>
      <c r="BP145" s="125"/>
      <c r="BQ145" s="125"/>
      <c r="BR145" s="61"/>
      <c r="BS145" s="125" t="s">
        <v>45</v>
      </c>
      <c r="BT145" s="125"/>
      <c r="BU145" s="125"/>
      <c r="BV145" s="125"/>
      <c r="BW145" s="125"/>
      <c r="BX145" s="125"/>
      <c r="BY145" s="125"/>
      <c r="BZ145" s="125"/>
      <c r="CA145" s="125"/>
      <c r="CB145" s="125"/>
      <c r="CC145" s="125"/>
    </row>
    <row r="146" spans="47:81" x14ac:dyDescent="0.15">
      <c r="BN146" s="128">
        <f>V26</f>
        <v>0</v>
      </c>
      <c r="BO146" s="128"/>
      <c r="BP146" s="128"/>
      <c r="BQ146" s="128"/>
      <c r="BR146" s="45"/>
      <c r="BZ146" s="128">
        <f>BN146</f>
        <v>0</v>
      </c>
      <c r="CA146" s="128"/>
      <c r="CB146" s="128"/>
      <c r="CC146" s="128"/>
    </row>
    <row r="147" spans="47:81" x14ac:dyDescent="0.15">
      <c r="AV147" t="s">
        <v>78</v>
      </c>
    </row>
    <row r="148" spans="47:81" x14ac:dyDescent="0.15">
      <c r="AV148" s="125" t="s">
        <v>42</v>
      </c>
      <c r="AW148" s="125"/>
      <c r="AX148" s="125"/>
      <c r="AY148" s="125"/>
      <c r="AZ148" s="127">
        <f>AZ143</f>
        <v>0</v>
      </c>
      <c r="BA148" s="125"/>
      <c r="BB148" s="125"/>
      <c r="BD148" t="s">
        <v>87</v>
      </c>
    </row>
    <row r="149" spans="47:81" x14ac:dyDescent="0.15">
      <c r="AV149" s="125" t="s">
        <v>48</v>
      </c>
      <c r="AW149" s="125"/>
      <c r="AX149" s="125"/>
      <c r="AY149" s="125"/>
      <c r="AZ149" s="126">
        <f>IF(BO143=1,BL143,IF(CA143=1,BX143,0))</f>
        <v>0</v>
      </c>
      <c r="BA149" s="126"/>
      <c r="BB149" s="126"/>
      <c r="BD149" t="s">
        <v>86</v>
      </c>
    </row>
    <row r="150" spans="47:81" x14ac:dyDescent="0.15">
      <c r="AV150" s="125" t="s">
        <v>49</v>
      </c>
      <c r="AW150" s="125"/>
      <c r="AX150" s="125"/>
      <c r="AY150" s="125"/>
      <c r="AZ150" s="127">
        <f>SUM(AZ148:BB149)+IF((AND(AZ148&gt;0,AZ149&gt;0,(AZ148+AZ149)&gt;100000)),-100000,0)</f>
        <v>0</v>
      </c>
      <c r="BA150" s="125"/>
      <c r="BB150" s="125"/>
      <c r="BD150" t="s">
        <v>70</v>
      </c>
      <c r="BR150" s="62"/>
    </row>
    <row r="152" spans="47:81" x14ac:dyDescent="0.15">
      <c r="AV152" s="125" t="s">
        <v>66</v>
      </c>
      <c r="AW152" s="125"/>
      <c r="AX152" s="125"/>
      <c r="AY152" s="125"/>
      <c r="AZ152" s="126">
        <f>MAX(IF(BO143=1,BL143,IF(CA143=1,BX143-150000,0)),0)</f>
        <v>0</v>
      </c>
      <c r="BA152" s="126"/>
      <c r="BB152" s="126"/>
    </row>
    <row r="154" spans="47:81" x14ac:dyDescent="0.15">
      <c r="AU154" s="133" t="s">
        <v>36</v>
      </c>
      <c r="AV154" s="134"/>
      <c r="AW154" s="134"/>
      <c r="AX154" s="134"/>
      <c r="AY154" s="134"/>
      <c r="AZ154" s="134"/>
      <c r="BA154" s="134"/>
      <c r="BB154" s="134"/>
      <c r="BC154" s="134"/>
      <c r="BD154" s="134"/>
      <c r="BE154" s="135"/>
      <c r="BG154" s="46"/>
      <c r="BH154" s="133" t="s">
        <v>47</v>
      </c>
      <c r="BI154" s="134"/>
      <c r="BJ154" s="134"/>
      <c r="BK154" s="134"/>
      <c r="BL154" s="134"/>
      <c r="BM154" s="134"/>
      <c r="BN154" s="134"/>
      <c r="BO154" s="134"/>
      <c r="BP154" s="134"/>
      <c r="BQ154" s="135"/>
      <c r="BR154" s="61"/>
      <c r="BS154" s="46"/>
      <c r="BT154" s="133" t="s">
        <v>46</v>
      </c>
      <c r="BU154" s="134"/>
      <c r="BV154" s="134"/>
      <c r="BW154" s="134"/>
      <c r="BX154" s="134"/>
      <c r="BY154" s="134"/>
      <c r="BZ154" s="134"/>
      <c r="CA154" s="134"/>
      <c r="CB154" s="134"/>
      <c r="CC154" s="135"/>
    </row>
    <row r="155" spans="47:81" x14ac:dyDescent="0.15">
      <c r="AU155" s="136"/>
      <c r="AV155" s="131" t="s">
        <v>38</v>
      </c>
      <c r="AW155" s="131"/>
      <c r="AX155" s="131"/>
      <c r="AY155" s="131"/>
      <c r="AZ155" s="131"/>
      <c r="BA155" s="131"/>
      <c r="BB155" s="131"/>
      <c r="BC155" s="131" t="s">
        <v>39</v>
      </c>
      <c r="BD155" s="131"/>
      <c r="BE155" s="131"/>
      <c r="BG155" s="136"/>
      <c r="BH155" s="131" t="s">
        <v>38</v>
      </c>
      <c r="BI155" s="131"/>
      <c r="BJ155" s="131"/>
      <c r="BK155" s="131"/>
      <c r="BL155" s="131"/>
      <c r="BM155" s="131"/>
      <c r="BN155" s="131"/>
      <c r="BO155" s="131" t="s">
        <v>39</v>
      </c>
      <c r="BP155" s="131"/>
      <c r="BQ155" s="131"/>
      <c r="BR155" s="43"/>
      <c r="BS155" s="136"/>
      <c r="BT155" s="131" t="s">
        <v>38</v>
      </c>
      <c r="BU155" s="131"/>
      <c r="BV155" s="131"/>
      <c r="BW155" s="131"/>
      <c r="BX155" s="131"/>
      <c r="BY155" s="131"/>
      <c r="BZ155" s="131"/>
      <c r="CA155" s="131" t="s">
        <v>39</v>
      </c>
      <c r="CB155" s="131"/>
      <c r="CC155" s="131"/>
    </row>
    <row r="156" spans="47:81" x14ac:dyDescent="0.15">
      <c r="AU156" s="137"/>
      <c r="AV156" s="132"/>
      <c r="AW156" s="132"/>
      <c r="AX156" s="132"/>
      <c r="AY156" s="132"/>
      <c r="AZ156" s="132"/>
      <c r="BA156" s="132"/>
      <c r="BB156" s="132"/>
      <c r="BC156" s="132"/>
      <c r="BD156" s="132"/>
      <c r="BE156" s="132"/>
      <c r="BG156" s="137"/>
      <c r="BH156" s="132"/>
      <c r="BI156" s="132"/>
      <c r="BJ156" s="132"/>
      <c r="BK156" s="132"/>
      <c r="BL156" s="132"/>
      <c r="BM156" s="132"/>
      <c r="BN156" s="132"/>
      <c r="BO156" s="132"/>
      <c r="BP156" s="132"/>
      <c r="BQ156" s="132"/>
      <c r="BR156" s="69"/>
      <c r="BS156" s="137"/>
      <c r="BT156" s="132"/>
      <c r="BU156" s="132"/>
      <c r="BV156" s="132"/>
      <c r="BW156" s="132"/>
      <c r="BX156" s="132"/>
      <c r="BY156" s="132"/>
      <c r="BZ156" s="132"/>
      <c r="CA156" s="132"/>
      <c r="CB156" s="132"/>
      <c r="CC156" s="132"/>
    </row>
    <row r="157" spans="47:81" x14ac:dyDescent="0.15">
      <c r="AU157" s="36">
        <f t="shared" ref="AU157:AU161" si="27">IF(AND($AZ$169&gt;=AV157,$AZ$169&lt;=AZ157),1,0)</f>
        <v>1</v>
      </c>
      <c r="AV157" s="129">
        <v>0</v>
      </c>
      <c r="AW157" s="129"/>
      <c r="AX157" s="129"/>
      <c r="AY157" s="89" t="s">
        <v>37</v>
      </c>
      <c r="AZ157" s="129">
        <v>650999</v>
      </c>
      <c r="BA157" s="129"/>
      <c r="BB157" s="129"/>
      <c r="BC157" s="130">
        <f>IF(AU157=1,0,0)</f>
        <v>0</v>
      </c>
      <c r="BD157" s="130"/>
      <c r="BE157" s="130"/>
      <c r="BG157" s="36">
        <f>IF(AND($BL$169&gt;=BH157,$BL$169&lt;=BL157,$BN$173&lt;=10000000),1,(IF(AND($BL$169&gt;=BH157,$BL$169&lt;=BL157,$BN$173&gt;10000000,$BN$173&lt;=20000000),2,(IF(AND($BL$169&gt;=BH157,$BL$169&lt;=BL157,$BN$173&gt;20000000),3,0)))))</f>
        <v>1</v>
      </c>
      <c r="BH157" s="129">
        <v>0</v>
      </c>
      <c r="BI157" s="129"/>
      <c r="BJ157" s="129"/>
      <c r="BK157" s="71" t="s">
        <v>37</v>
      </c>
      <c r="BL157" s="129">
        <v>1299999</v>
      </c>
      <c r="BM157" s="129"/>
      <c r="BN157" s="129"/>
      <c r="BO157" s="130">
        <f>MAX(IF(BG157=1,BL169-600000,IF(BG157=2,BL169-500000,IF(BG157=3,BL169-400000,0))),)</f>
        <v>0</v>
      </c>
      <c r="BP157" s="130"/>
      <c r="BQ157" s="130"/>
      <c r="BR157" s="44"/>
      <c r="BS157" s="36">
        <f>IF(AND($BX$169&gt;=BT157,$BX$169&lt;=BX157,$BZ$173&lt;=10000000),1,(IF(AND($BX$169&gt;=BT157,$BX$169&lt;=BX157,$BZ$173&gt;10000000,$BZ$173&lt;=20000000),2,(IF(AND($BX$169&gt;=BT157,$BX$169&lt;=BX157,$BZ$173&gt;20000000),3,0)))))</f>
        <v>1</v>
      </c>
      <c r="BT157" s="129">
        <v>0</v>
      </c>
      <c r="BU157" s="129"/>
      <c r="BV157" s="129"/>
      <c r="BW157" s="71" t="s">
        <v>37</v>
      </c>
      <c r="BX157" s="129">
        <v>3299999</v>
      </c>
      <c r="BY157" s="129"/>
      <c r="BZ157" s="129"/>
      <c r="CA157" s="130">
        <f>MAX(IF(BS157=1,BX169-1100000,IF(BS157=2,BX169-1000000,IF(BS157=3,BX169-900000,0))),)</f>
        <v>0</v>
      </c>
      <c r="CB157" s="130"/>
      <c r="CC157" s="130"/>
    </row>
    <row r="158" spans="47:81" x14ac:dyDescent="0.15">
      <c r="AU158" s="36">
        <f t="shared" si="27"/>
        <v>0</v>
      </c>
      <c r="AV158" s="129">
        <v>651000</v>
      </c>
      <c r="AW158" s="129"/>
      <c r="AX158" s="129"/>
      <c r="AY158" s="89" t="s">
        <v>37</v>
      </c>
      <c r="AZ158" s="129">
        <v>1900000</v>
      </c>
      <c r="BA158" s="129"/>
      <c r="BB158" s="129"/>
      <c r="BC158" s="130">
        <f>IF(AU158=1,AZ169-650000,0)</f>
        <v>0</v>
      </c>
      <c r="BD158" s="130"/>
      <c r="BE158" s="130"/>
      <c r="BG158" s="36">
        <f t="shared" ref="BG158:BG160" si="28">IF(AND($BL$169&gt;=BH158,$BL$169&lt;=BL158,$BN$173&lt;=10000000),1,(IF(AND($BL$169&gt;=BH158,$BL$169&lt;=BL158,$BN$173&gt;10000000,$BN$173&lt;=20000000),2,(IF(AND($BL$169&gt;=BH158,$BL$169&lt;=BL158,$BN$173&gt;20000000),3,0)))))</f>
        <v>0</v>
      </c>
      <c r="BH158" s="129">
        <v>1300000</v>
      </c>
      <c r="BI158" s="129"/>
      <c r="BJ158" s="129"/>
      <c r="BK158" s="71" t="s">
        <v>37</v>
      </c>
      <c r="BL158" s="129">
        <v>4099999</v>
      </c>
      <c r="BM158" s="129"/>
      <c r="BN158" s="129"/>
      <c r="BO158" s="130">
        <f>IF(BG158=1,BL169*0.75-275000,IF(BG158=2,BL169*0.75-175000,IF(BG158=3,BL169*0.75-75000,0)))</f>
        <v>0</v>
      </c>
      <c r="BP158" s="130"/>
      <c r="BQ158" s="130"/>
      <c r="BR158" s="44"/>
      <c r="BS158" s="36">
        <f t="shared" ref="BS158:BS160" si="29">IF(AND($BX$169&gt;=BT158,$BX$169&lt;=BX158,$BZ$173&lt;=10000000),1,(IF(AND($BX$169&gt;=BT158,$BX$169&lt;=BX158,$BZ$173&gt;10000000,$BZ$173&lt;=20000000),2,(IF(AND($BX$169&gt;=BT158,$BX$169&lt;=BX158,$BZ$173&gt;20000000),3,0)))))</f>
        <v>0</v>
      </c>
      <c r="BT158" s="129">
        <v>3300000</v>
      </c>
      <c r="BU158" s="129"/>
      <c r="BV158" s="129"/>
      <c r="BW158" s="71" t="s">
        <v>37</v>
      </c>
      <c r="BX158" s="129">
        <v>4099999</v>
      </c>
      <c r="BY158" s="129"/>
      <c r="BZ158" s="129"/>
      <c r="CA158" s="130">
        <f>IF(BS158=1,BX169*0.75-275000,IF(BS158=2,BX169*0.75-175000,IF(BS158=3,BX169*0.75-75000,0)))</f>
        <v>0</v>
      </c>
      <c r="CB158" s="130"/>
      <c r="CC158" s="130"/>
    </row>
    <row r="159" spans="47:81" x14ac:dyDescent="0.15">
      <c r="AU159" s="36">
        <f t="shared" si="27"/>
        <v>0</v>
      </c>
      <c r="AV159" s="129">
        <v>1900001</v>
      </c>
      <c r="AW159" s="129"/>
      <c r="AX159" s="129"/>
      <c r="AY159" s="93" t="s">
        <v>37</v>
      </c>
      <c r="AZ159" s="129">
        <v>3599999</v>
      </c>
      <c r="BA159" s="129"/>
      <c r="BB159" s="129"/>
      <c r="BC159" s="130">
        <f>IF(AU159=1,ROUNDDOWN(AZ169/4,-3)*2.8-80000,0)</f>
        <v>0</v>
      </c>
      <c r="BD159" s="130"/>
      <c r="BE159" s="130"/>
      <c r="BG159" s="36">
        <f t="shared" si="28"/>
        <v>0</v>
      </c>
      <c r="BH159" s="129">
        <v>4100000</v>
      </c>
      <c r="BI159" s="129"/>
      <c r="BJ159" s="129"/>
      <c r="BK159" s="71" t="s">
        <v>37</v>
      </c>
      <c r="BL159" s="129">
        <v>7699999</v>
      </c>
      <c r="BM159" s="129"/>
      <c r="BN159" s="129"/>
      <c r="BO159" s="130">
        <f>IF(BG159=1,BL169*0.85-685000,IF(BG159=2,BL169*0.85-585000,IF(BG159=3,BL169*0.85-485000,0)))</f>
        <v>0</v>
      </c>
      <c r="BP159" s="130"/>
      <c r="BQ159" s="130"/>
      <c r="BR159" s="44"/>
      <c r="BS159" s="36">
        <f t="shared" si="29"/>
        <v>0</v>
      </c>
      <c r="BT159" s="129">
        <v>4100000</v>
      </c>
      <c r="BU159" s="129"/>
      <c r="BV159" s="129"/>
      <c r="BW159" s="71" t="s">
        <v>37</v>
      </c>
      <c r="BX159" s="129">
        <v>7699999</v>
      </c>
      <c r="BY159" s="129"/>
      <c r="BZ159" s="129"/>
      <c r="CA159" s="130">
        <f>IF(BS159=1,BX169*0.85-685000,IF(BS159=2,BX169*0.85-585000,IF(BS159=3,BX169*0.85-485000,0)))</f>
        <v>0</v>
      </c>
      <c r="CB159" s="130"/>
      <c r="CC159" s="130"/>
    </row>
    <row r="160" spans="47:81" x14ac:dyDescent="0.15">
      <c r="AU160" s="36">
        <f t="shared" si="27"/>
        <v>0</v>
      </c>
      <c r="AV160" s="129">
        <v>3600000</v>
      </c>
      <c r="AW160" s="129"/>
      <c r="AX160" s="129"/>
      <c r="AY160" s="93" t="s">
        <v>37</v>
      </c>
      <c r="AZ160" s="129">
        <v>6599999</v>
      </c>
      <c r="BA160" s="129"/>
      <c r="BB160" s="129"/>
      <c r="BC160" s="130">
        <f>IF(AU160=1,ROUNDDOWN(AZ169/4,-3)*3.2-440000,0)</f>
        <v>0</v>
      </c>
      <c r="BD160" s="130"/>
      <c r="BE160" s="130"/>
      <c r="BG160" s="36">
        <f t="shared" si="28"/>
        <v>0</v>
      </c>
      <c r="BH160" s="129">
        <v>7700000</v>
      </c>
      <c r="BI160" s="129"/>
      <c r="BJ160" s="129"/>
      <c r="BK160" s="71" t="s">
        <v>37</v>
      </c>
      <c r="BL160" s="129">
        <v>9999999</v>
      </c>
      <c r="BM160" s="129"/>
      <c r="BN160" s="129"/>
      <c r="BO160" s="130">
        <f>IF(BG160=1,BL169*0.95-1455000,IF(BG160=2,BL169*0.95-1355000,IF(BG160=3,BL169*0.95-1255000,0)))</f>
        <v>0</v>
      </c>
      <c r="BP160" s="130"/>
      <c r="BQ160" s="130"/>
      <c r="BR160" s="44"/>
      <c r="BS160" s="36">
        <f t="shared" si="29"/>
        <v>0</v>
      </c>
      <c r="BT160" s="129">
        <v>7700000</v>
      </c>
      <c r="BU160" s="129"/>
      <c r="BV160" s="129"/>
      <c r="BW160" s="71" t="s">
        <v>37</v>
      </c>
      <c r="BX160" s="129">
        <v>9999999</v>
      </c>
      <c r="BY160" s="129"/>
      <c r="BZ160" s="129"/>
      <c r="CA160" s="130">
        <f>IF(BS160=1,BX169*0.95-1455000,IF(BS160=2,BX169*0.95-1355000,IF(BS160=3,BX169*0.95-1255000,0)))</f>
        <v>0</v>
      </c>
      <c r="CB160" s="130"/>
      <c r="CC160" s="130"/>
    </row>
    <row r="161" spans="47:81" x14ac:dyDescent="0.15">
      <c r="AU161" s="36">
        <f t="shared" si="27"/>
        <v>0</v>
      </c>
      <c r="AV161" s="129">
        <v>6600000</v>
      </c>
      <c r="AW161" s="129"/>
      <c r="AX161" s="129"/>
      <c r="AY161" s="93" t="s">
        <v>37</v>
      </c>
      <c r="AZ161" s="129">
        <v>8499999</v>
      </c>
      <c r="BA161" s="129"/>
      <c r="BB161" s="129"/>
      <c r="BC161" s="130">
        <f>IF(AU161=1,AZ169*0.9-1100000,0)</f>
        <v>0</v>
      </c>
      <c r="BD161" s="130"/>
      <c r="BE161" s="130"/>
      <c r="BG161" s="36">
        <f>IF(AND($BL$169&gt;=BH161,$BN$173&lt;=10000000),1,(IF(AND($BL$169&gt;=BH161,$BN$173&gt;10000000,$BN$173&lt;=20000000),2,(IF(AND($BL$169&gt;=BH161,$BN$173&gt;20000000),3,0)))))</f>
        <v>0</v>
      </c>
      <c r="BH161" s="129">
        <v>10000000</v>
      </c>
      <c r="BI161" s="129"/>
      <c r="BJ161" s="129"/>
      <c r="BK161" s="71" t="s">
        <v>37</v>
      </c>
      <c r="BL161" s="129"/>
      <c r="BM161" s="129"/>
      <c r="BN161" s="129"/>
      <c r="BO161" s="130">
        <f>IF(BG161=1,BL169-1955000,IF(BG161=2,BL169-1855000,IF(BG161=3,BL169-1755000,0)))</f>
        <v>0</v>
      </c>
      <c r="BP161" s="130"/>
      <c r="BQ161" s="130"/>
      <c r="BR161" s="44"/>
      <c r="BS161" s="36">
        <f>IF(AND($BX$169&gt;=BT161,$BZ$173&lt;=10000000),1,(IF(AND($BX$169&gt;=BT161,$BZ$173&gt;10000000,$BZ$173&lt;=20000000),2,(IF(AND($BX$169&gt;=BT161,$BZ$173&gt;20000000),3,0)))))</f>
        <v>0</v>
      </c>
      <c r="BT161" s="129">
        <v>10000000</v>
      </c>
      <c r="BU161" s="129"/>
      <c r="BV161" s="129"/>
      <c r="BW161" s="71" t="s">
        <v>37</v>
      </c>
      <c r="BX161" s="129"/>
      <c r="BY161" s="129"/>
      <c r="BZ161" s="129"/>
      <c r="CA161" s="130">
        <f>IF(BS161=1,BX169-1955000,IF(BS161=2,BX169-1855000,IF(BS161=3,BX169-1755000,0)))</f>
        <v>0</v>
      </c>
      <c r="CB161" s="130"/>
      <c r="CC161" s="130"/>
    </row>
    <row r="162" spans="47:81" x14ac:dyDescent="0.15">
      <c r="AU162" s="36">
        <f>IF($AZ$169&gt;=AV162,1,0)</f>
        <v>0</v>
      </c>
      <c r="AV162" s="129">
        <v>8500000</v>
      </c>
      <c r="AW162" s="129"/>
      <c r="AX162" s="129"/>
      <c r="AY162" s="93" t="s">
        <v>37</v>
      </c>
      <c r="AZ162" s="129"/>
      <c r="BA162" s="129"/>
      <c r="BB162" s="129"/>
      <c r="BC162" s="130">
        <f>IF(AU162=1,AZ169-1950000,0)</f>
        <v>0</v>
      </c>
      <c r="BD162" s="130"/>
      <c r="BE162" s="130"/>
      <c r="BG162" s="36"/>
      <c r="BH162" s="129"/>
      <c r="BI162" s="129"/>
      <c r="BJ162" s="129"/>
      <c r="BK162" s="71" t="s">
        <v>37</v>
      </c>
      <c r="BL162" s="129"/>
      <c r="BM162" s="129"/>
      <c r="BN162" s="129"/>
      <c r="BO162" s="130"/>
      <c r="BP162" s="130"/>
      <c r="BQ162" s="130"/>
      <c r="BR162" s="44"/>
      <c r="BS162" s="36"/>
      <c r="BT162" s="129"/>
      <c r="BU162" s="129"/>
      <c r="BV162" s="129"/>
      <c r="BW162" s="71" t="s">
        <v>37</v>
      </c>
      <c r="BX162" s="129"/>
      <c r="BY162" s="129"/>
      <c r="BZ162" s="129"/>
      <c r="CA162" s="130"/>
      <c r="CB162" s="130"/>
      <c r="CC162" s="130"/>
    </row>
    <row r="163" spans="47:81" x14ac:dyDescent="0.15">
      <c r="AU163" s="36"/>
      <c r="AV163" s="129"/>
      <c r="AW163" s="129"/>
      <c r="AX163" s="129"/>
      <c r="AY163" s="89" t="s">
        <v>37</v>
      </c>
      <c r="AZ163" s="129"/>
      <c r="BA163" s="129"/>
      <c r="BB163" s="129"/>
      <c r="BC163" s="130"/>
      <c r="BD163" s="130"/>
      <c r="BE163" s="130"/>
      <c r="BG163" s="36"/>
      <c r="BH163" s="129"/>
      <c r="BI163" s="129"/>
      <c r="BJ163" s="129"/>
      <c r="BK163" s="71" t="s">
        <v>37</v>
      </c>
      <c r="BL163" s="129"/>
      <c r="BM163" s="129"/>
      <c r="BN163" s="129"/>
      <c r="BO163" s="130"/>
      <c r="BP163" s="130"/>
      <c r="BQ163" s="130"/>
      <c r="BR163" s="44"/>
      <c r="BS163" s="36"/>
      <c r="BT163" s="129"/>
      <c r="BU163" s="129"/>
      <c r="BV163" s="129"/>
      <c r="BW163" s="71" t="s">
        <v>37</v>
      </c>
      <c r="BX163" s="129"/>
      <c r="BY163" s="129"/>
      <c r="BZ163" s="129"/>
      <c r="CA163" s="130"/>
      <c r="CB163" s="130"/>
      <c r="CC163" s="130"/>
    </row>
    <row r="164" spans="47:81" x14ac:dyDescent="0.15">
      <c r="AU164" s="36"/>
      <c r="AV164" s="129"/>
      <c r="AW164" s="129"/>
      <c r="AX164" s="129"/>
      <c r="AY164" s="89" t="s">
        <v>37</v>
      </c>
      <c r="AZ164" s="129"/>
      <c r="BA164" s="129"/>
      <c r="BB164" s="129"/>
      <c r="BC164" s="130"/>
      <c r="BD164" s="130"/>
      <c r="BE164" s="130"/>
      <c r="BG164" s="36"/>
      <c r="BH164" s="129"/>
      <c r="BI164" s="129"/>
      <c r="BJ164" s="129"/>
      <c r="BK164" s="71" t="s">
        <v>37</v>
      </c>
      <c r="BL164" s="129"/>
      <c r="BM164" s="129"/>
      <c r="BN164" s="129"/>
      <c r="BO164" s="130"/>
      <c r="BP164" s="130"/>
      <c r="BQ164" s="130"/>
      <c r="BR164" s="44"/>
      <c r="BS164" s="36"/>
      <c r="BT164" s="129"/>
      <c r="BU164" s="129"/>
      <c r="BV164" s="129"/>
      <c r="BW164" s="71" t="s">
        <v>37</v>
      </c>
      <c r="BX164" s="129"/>
      <c r="BY164" s="129"/>
      <c r="BZ164" s="129"/>
      <c r="CA164" s="130"/>
      <c r="CB164" s="130"/>
      <c r="CC164" s="130"/>
    </row>
    <row r="165" spans="47:81" x14ac:dyDescent="0.15">
      <c r="AU165" s="36"/>
      <c r="AV165" s="129"/>
      <c r="AW165" s="129"/>
      <c r="AX165" s="129"/>
      <c r="AY165" s="89" t="s">
        <v>37</v>
      </c>
      <c r="AZ165" s="129"/>
      <c r="BA165" s="129"/>
      <c r="BB165" s="129"/>
      <c r="BC165" s="130"/>
      <c r="BD165" s="130"/>
      <c r="BE165" s="130"/>
      <c r="BG165" s="36"/>
      <c r="BH165" s="129"/>
      <c r="BI165" s="129"/>
      <c r="BJ165" s="129"/>
      <c r="BK165" s="71" t="s">
        <v>37</v>
      </c>
      <c r="BL165" s="129"/>
      <c r="BM165" s="129"/>
      <c r="BN165" s="129"/>
      <c r="BO165" s="130"/>
      <c r="BP165" s="130"/>
      <c r="BQ165" s="130"/>
      <c r="BR165" s="44"/>
      <c r="BS165" s="36"/>
      <c r="BT165" s="129"/>
      <c r="BU165" s="129"/>
      <c r="BV165" s="129"/>
      <c r="BW165" s="71" t="s">
        <v>37</v>
      </c>
      <c r="BX165" s="129"/>
      <c r="BY165" s="129"/>
      <c r="BZ165" s="129"/>
      <c r="CA165" s="130"/>
      <c r="CB165" s="130"/>
      <c r="CC165" s="130"/>
    </row>
    <row r="166" spans="47:81" x14ac:dyDescent="0.15">
      <c r="AU166" s="36"/>
      <c r="AV166" s="129"/>
      <c r="AW166" s="129"/>
      <c r="AX166" s="129"/>
      <c r="AY166" s="89" t="s">
        <v>37</v>
      </c>
      <c r="AZ166" s="129"/>
      <c r="BA166" s="129"/>
      <c r="BB166" s="129"/>
      <c r="BC166" s="130"/>
      <c r="BD166" s="130"/>
      <c r="BE166" s="130"/>
      <c r="BG166" s="36"/>
      <c r="BH166" s="129"/>
      <c r="BI166" s="129"/>
      <c r="BJ166" s="129"/>
      <c r="BK166" s="71" t="s">
        <v>37</v>
      </c>
      <c r="BL166" s="129"/>
      <c r="BM166" s="129"/>
      <c r="BN166" s="129"/>
      <c r="BO166" s="130"/>
      <c r="BP166" s="130"/>
      <c r="BQ166" s="130"/>
      <c r="BR166" s="44"/>
      <c r="BS166" s="36"/>
      <c r="BT166" s="129"/>
      <c r="BU166" s="129"/>
      <c r="BV166" s="129"/>
      <c r="BW166" s="71" t="s">
        <v>37</v>
      </c>
      <c r="BX166" s="129"/>
      <c r="BY166" s="129"/>
      <c r="BZ166" s="129"/>
      <c r="CA166" s="130"/>
      <c r="CB166" s="130"/>
      <c r="CC166" s="130"/>
    </row>
    <row r="167" spans="47:81" x14ac:dyDescent="0.15">
      <c r="AU167" s="36"/>
      <c r="AV167" s="129"/>
      <c r="AW167" s="129"/>
      <c r="AX167" s="129"/>
      <c r="AY167" s="89" t="s">
        <v>37</v>
      </c>
      <c r="AZ167" s="129"/>
      <c r="BA167" s="129"/>
      <c r="BB167" s="129"/>
      <c r="BC167" s="130"/>
      <c r="BD167" s="130"/>
      <c r="BE167" s="130"/>
      <c r="BG167" s="36"/>
      <c r="BH167" s="129"/>
      <c r="BI167" s="129"/>
      <c r="BJ167" s="129"/>
      <c r="BK167" s="71" t="s">
        <v>37</v>
      </c>
      <c r="BL167" s="129"/>
      <c r="BM167" s="129"/>
      <c r="BN167" s="129"/>
      <c r="BO167" s="130"/>
      <c r="BP167" s="130"/>
      <c r="BQ167" s="130"/>
      <c r="BR167" s="44"/>
      <c r="BS167" s="36"/>
      <c r="BT167" s="129"/>
      <c r="BU167" s="129"/>
      <c r="BV167" s="129"/>
      <c r="BW167" s="71" t="s">
        <v>37</v>
      </c>
      <c r="BX167" s="129"/>
      <c r="BY167" s="129"/>
      <c r="BZ167" s="129"/>
      <c r="CA167" s="130"/>
      <c r="CB167" s="130"/>
      <c r="CC167" s="130"/>
    </row>
    <row r="168" spans="47:81" x14ac:dyDescent="0.15">
      <c r="AU168" s="70"/>
      <c r="AV168" s="41"/>
      <c r="AW168" s="41"/>
      <c r="AX168" s="41"/>
      <c r="AY168" s="70"/>
      <c r="AZ168" s="33"/>
      <c r="BA168" s="33"/>
      <c r="BB168" s="33"/>
      <c r="BC168" s="38"/>
      <c r="BD168" s="38"/>
      <c r="BE168" s="38"/>
      <c r="BG168" s="70"/>
      <c r="BH168" s="41"/>
      <c r="BI168" s="41"/>
      <c r="BJ168" s="41"/>
      <c r="BK168" s="70"/>
      <c r="BL168" s="33"/>
      <c r="BM168" s="33"/>
      <c r="BN168" s="33"/>
      <c r="BO168" s="38"/>
      <c r="BP168" s="38"/>
      <c r="BQ168" s="38"/>
      <c r="BR168" s="38"/>
      <c r="BS168" s="70"/>
      <c r="BT168" s="41"/>
      <c r="BU168" s="41"/>
      <c r="BV168" s="41"/>
      <c r="BW168" s="70"/>
      <c r="BX168" s="33"/>
      <c r="BY168" s="33"/>
      <c r="BZ168" s="33"/>
      <c r="CA168" s="38"/>
      <c r="CB168" s="38"/>
      <c r="CC168" s="38"/>
    </row>
    <row r="169" spans="47:81" x14ac:dyDescent="0.15">
      <c r="AU169" s="70"/>
      <c r="AV169" s="120" t="s">
        <v>31</v>
      </c>
      <c r="AW169" s="120"/>
      <c r="AX169" s="120"/>
      <c r="AY169" s="120"/>
      <c r="AZ169" s="121">
        <f>F27</f>
        <v>0</v>
      </c>
      <c r="BA169" s="122"/>
      <c r="BB169" s="123"/>
      <c r="BC169" s="39"/>
      <c r="BD169" s="40"/>
      <c r="BE169" s="40"/>
      <c r="BG169" s="70"/>
      <c r="BH169" s="120" t="s">
        <v>43</v>
      </c>
      <c r="BI169" s="120"/>
      <c r="BJ169" s="120"/>
      <c r="BK169" s="120"/>
      <c r="BL169" s="124">
        <f>J27</f>
        <v>0</v>
      </c>
      <c r="BM169" s="124"/>
      <c r="BN169" s="124"/>
      <c r="BO169" s="39"/>
      <c r="BP169" s="40"/>
      <c r="BQ169" s="40"/>
      <c r="BR169" s="40"/>
      <c r="BS169" s="70"/>
      <c r="BT169" s="120" t="s">
        <v>43</v>
      </c>
      <c r="BU169" s="120"/>
      <c r="BV169" s="120"/>
      <c r="BW169" s="120"/>
      <c r="BX169" s="124">
        <f>BL169</f>
        <v>0</v>
      </c>
      <c r="BY169" s="124"/>
      <c r="BZ169" s="124"/>
      <c r="CA169" s="39"/>
      <c r="CB169" s="40"/>
      <c r="CC169" s="40"/>
    </row>
    <row r="170" spans="47:81" x14ac:dyDescent="0.15">
      <c r="AV170" s="120" t="s">
        <v>42</v>
      </c>
      <c r="AW170" s="120"/>
      <c r="AX170" s="120"/>
      <c r="AY170" s="120"/>
      <c r="AZ170" s="127">
        <f>SUM(BC157:BE167)</f>
        <v>0</v>
      </c>
      <c r="BA170" s="125"/>
      <c r="BB170" s="125"/>
      <c r="BH170" s="120" t="s">
        <v>44</v>
      </c>
      <c r="BI170" s="120"/>
      <c r="BJ170" s="120"/>
      <c r="BK170" s="120"/>
      <c r="BL170" s="127">
        <f>SUM(BO157:BQ167)</f>
        <v>0</v>
      </c>
      <c r="BM170" s="125"/>
      <c r="BN170" s="125"/>
      <c r="BO170" s="57">
        <f>IF(D27&lt;65,1,0)</f>
        <v>1</v>
      </c>
      <c r="BT170" s="120" t="s">
        <v>44</v>
      </c>
      <c r="BU170" s="120"/>
      <c r="BV170" s="120"/>
      <c r="BW170" s="120"/>
      <c r="BX170" s="127">
        <f>SUM(CA157:CC167)</f>
        <v>0</v>
      </c>
      <c r="BY170" s="125"/>
      <c r="BZ170" s="125"/>
      <c r="CA170" s="57">
        <f>IF(D27&lt;65,0,1)</f>
        <v>0</v>
      </c>
    </row>
    <row r="171" spans="47:81" x14ac:dyDescent="0.15">
      <c r="BL171" s="42"/>
      <c r="BM171" s="42"/>
      <c r="BN171" s="42"/>
      <c r="BX171" s="42"/>
      <c r="BY171" s="42"/>
      <c r="BZ171" s="42"/>
    </row>
    <row r="172" spans="47:81" x14ac:dyDescent="0.15">
      <c r="BG172" s="125" t="s">
        <v>45</v>
      </c>
      <c r="BH172" s="125"/>
      <c r="BI172" s="125"/>
      <c r="BJ172" s="125"/>
      <c r="BK172" s="125"/>
      <c r="BL172" s="125"/>
      <c r="BM172" s="125"/>
      <c r="BN172" s="125"/>
      <c r="BO172" s="125"/>
      <c r="BP172" s="125"/>
      <c r="BQ172" s="125"/>
      <c r="BR172" s="61"/>
      <c r="BS172" s="125" t="s">
        <v>45</v>
      </c>
      <c r="BT172" s="125"/>
      <c r="BU172" s="125"/>
      <c r="BV172" s="125"/>
      <c r="BW172" s="125"/>
      <c r="BX172" s="125"/>
      <c r="BY172" s="125"/>
      <c r="BZ172" s="125"/>
      <c r="CA172" s="125"/>
      <c r="CB172" s="125"/>
      <c r="CC172" s="125"/>
    </row>
    <row r="173" spans="47:81" x14ac:dyDescent="0.15">
      <c r="BN173" s="128">
        <f>V27</f>
        <v>0</v>
      </c>
      <c r="BO173" s="128"/>
      <c r="BP173" s="128"/>
      <c r="BQ173" s="128"/>
      <c r="BR173" s="45"/>
      <c r="BZ173" s="128">
        <f>BN173</f>
        <v>0</v>
      </c>
      <c r="CA173" s="128"/>
      <c r="CB173" s="128"/>
      <c r="CC173" s="128"/>
    </row>
    <row r="174" spans="47:81" x14ac:dyDescent="0.15">
      <c r="AV174" t="s">
        <v>79</v>
      </c>
    </row>
    <row r="175" spans="47:81" x14ac:dyDescent="0.15">
      <c r="AV175" s="125" t="s">
        <v>42</v>
      </c>
      <c r="AW175" s="125"/>
      <c r="AX175" s="125"/>
      <c r="AY175" s="125"/>
      <c r="AZ175" s="127">
        <f>AZ170</f>
        <v>0</v>
      </c>
      <c r="BA175" s="125"/>
      <c r="BB175" s="125"/>
      <c r="BD175" t="s">
        <v>87</v>
      </c>
    </row>
    <row r="176" spans="47:81" x14ac:dyDescent="0.15">
      <c r="AV176" s="125" t="s">
        <v>48</v>
      </c>
      <c r="AW176" s="125"/>
      <c r="AX176" s="125"/>
      <c r="AY176" s="125"/>
      <c r="AZ176" s="126">
        <f>IF(BO170=1,BL170,IF(CA170=1,BX170,0))</f>
        <v>0</v>
      </c>
      <c r="BA176" s="126"/>
      <c r="BB176" s="126"/>
      <c r="BD176" t="s">
        <v>86</v>
      </c>
    </row>
    <row r="177" spans="47:81" x14ac:dyDescent="0.15">
      <c r="AV177" s="125" t="s">
        <v>49</v>
      </c>
      <c r="AW177" s="125"/>
      <c r="AX177" s="125"/>
      <c r="AY177" s="125"/>
      <c r="AZ177" s="127">
        <f>SUM(AZ175:BB176)+IF((AND(AZ175&gt;0,AZ176&gt;0,(AZ175+AZ176)&gt;100000)),-100000,0)</f>
        <v>0</v>
      </c>
      <c r="BA177" s="125"/>
      <c r="BB177" s="125"/>
      <c r="BD177" t="s">
        <v>70</v>
      </c>
      <c r="BR177" s="62"/>
      <c r="BS177" s="62"/>
    </row>
    <row r="179" spans="47:81" x14ac:dyDescent="0.15">
      <c r="AV179" s="125" t="s">
        <v>66</v>
      </c>
      <c r="AW179" s="125"/>
      <c r="AX179" s="125"/>
      <c r="AY179" s="125"/>
      <c r="AZ179" s="126">
        <f>MAX(IF(BO170=1,BL170,IF(CA170=1,BX170-150000,0)),0)</f>
        <v>0</v>
      </c>
      <c r="BA179" s="126"/>
      <c r="BB179" s="126"/>
    </row>
    <row r="181" spans="47:81" x14ac:dyDescent="0.15">
      <c r="AU181" s="133" t="s">
        <v>36</v>
      </c>
      <c r="AV181" s="134"/>
      <c r="AW181" s="134"/>
      <c r="AX181" s="134"/>
      <c r="AY181" s="134"/>
      <c r="AZ181" s="134"/>
      <c r="BA181" s="134"/>
      <c r="BB181" s="134"/>
      <c r="BC181" s="134"/>
      <c r="BD181" s="134"/>
      <c r="BE181" s="135"/>
      <c r="BG181" s="46"/>
      <c r="BH181" s="133" t="s">
        <v>47</v>
      </c>
      <c r="BI181" s="134"/>
      <c r="BJ181" s="134"/>
      <c r="BK181" s="134"/>
      <c r="BL181" s="134"/>
      <c r="BM181" s="134"/>
      <c r="BN181" s="134"/>
      <c r="BO181" s="134"/>
      <c r="BP181" s="134"/>
      <c r="BQ181" s="135"/>
      <c r="BR181" s="61"/>
      <c r="BS181" s="46"/>
      <c r="BT181" s="133" t="s">
        <v>46</v>
      </c>
      <c r="BU181" s="134"/>
      <c r="BV181" s="134"/>
      <c r="BW181" s="134"/>
      <c r="BX181" s="134"/>
      <c r="BY181" s="134"/>
      <c r="BZ181" s="134"/>
      <c r="CA181" s="134"/>
      <c r="CB181" s="134"/>
      <c r="CC181" s="135"/>
    </row>
    <row r="182" spans="47:81" x14ac:dyDescent="0.15">
      <c r="AU182" s="136"/>
      <c r="AV182" s="131" t="s">
        <v>38</v>
      </c>
      <c r="AW182" s="131"/>
      <c r="AX182" s="131"/>
      <c r="AY182" s="131"/>
      <c r="AZ182" s="131"/>
      <c r="BA182" s="131"/>
      <c r="BB182" s="131"/>
      <c r="BC182" s="131" t="s">
        <v>39</v>
      </c>
      <c r="BD182" s="131"/>
      <c r="BE182" s="131"/>
      <c r="BG182" s="136"/>
      <c r="BH182" s="131" t="s">
        <v>38</v>
      </c>
      <c r="BI182" s="131"/>
      <c r="BJ182" s="131"/>
      <c r="BK182" s="131"/>
      <c r="BL182" s="131"/>
      <c r="BM182" s="131"/>
      <c r="BN182" s="131"/>
      <c r="BO182" s="131" t="s">
        <v>39</v>
      </c>
      <c r="BP182" s="131"/>
      <c r="BQ182" s="131"/>
      <c r="BR182" s="43"/>
      <c r="BS182" s="136"/>
      <c r="BT182" s="131" t="s">
        <v>38</v>
      </c>
      <c r="BU182" s="131"/>
      <c r="BV182" s="131"/>
      <c r="BW182" s="131"/>
      <c r="BX182" s="131"/>
      <c r="BY182" s="131"/>
      <c r="BZ182" s="131"/>
      <c r="CA182" s="131" t="s">
        <v>39</v>
      </c>
      <c r="CB182" s="131"/>
      <c r="CC182" s="131"/>
    </row>
    <row r="183" spans="47:81" x14ac:dyDescent="0.15">
      <c r="AU183" s="137"/>
      <c r="AV183" s="132"/>
      <c r="AW183" s="132"/>
      <c r="AX183" s="132"/>
      <c r="AY183" s="132"/>
      <c r="AZ183" s="132"/>
      <c r="BA183" s="132"/>
      <c r="BB183" s="132"/>
      <c r="BC183" s="132"/>
      <c r="BD183" s="132"/>
      <c r="BE183" s="132"/>
      <c r="BG183" s="137"/>
      <c r="BH183" s="132"/>
      <c r="BI183" s="132"/>
      <c r="BJ183" s="132"/>
      <c r="BK183" s="132"/>
      <c r="BL183" s="132"/>
      <c r="BM183" s="132"/>
      <c r="BN183" s="132"/>
      <c r="BO183" s="132"/>
      <c r="BP183" s="132"/>
      <c r="BQ183" s="132"/>
      <c r="BR183" s="69"/>
      <c r="BS183" s="137"/>
      <c r="BT183" s="132"/>
      <c r="BU183" s="132"/>
      <c r="BV183" s="132"/>
      <c r="BW183" s="132"/>
      <c r="BX183" s="132"/>
      <c r="BY183" s="132"/>
      <c r="BZ183" s="132"/>
      <c r="CA183" s="132"/>
      <c r="CB183" s="132"/>
      <c r="CC183" s="132"/>
    </row>
    <row r="184" spans="47:81" x14ac:dyDescent="0.15">
      <c r="AU184" s="36">
        <f t="shared" ref="AU184:AU188" si="30">IF(AND($AZ$196&gt;=AV184,$AZ$196&lt;=AZ184),1,0)</f>
        <v>1</v>
      </c>
      <c r="AV184" s="129">
        <v>0</v>
      </c>
      <c r="AW184" s="129"/>
      <c r="AX184" s="129"/>
      <c r="AY184" s="89" t="s">
        <v>37</v>
      </c>
      <c r="AZ184" s="129">
        <v>650999</v>
      </c>
      <c r="BA184" s="129"/>
      <c r="BB184" s="129"/>
      <c r="BC184" s="130">
        <f>IF(AU184=1,0,0)</f>
        <v>0</v>
      </c>
      <c r="BD184" s="130"/>
      <c r="BE184" s="130"/>
      <c r="BG184" s="36">
        <f>IF(AND($BL$196&gt;=BH184,$BL$196&lt;=BL184,$BN$200&lt;=10000000),1,(IF(AND($BL$196&gt;=BH184,$BL$196&lt;=BL184,$BN$200&gt;10000000,$BN$200&lt;=20000000),2,(IF(AND($BL$196&gt;=BH184,$BL$196&lt;=BL184,$BN$200&gt;20000000),3,0)))))</f>
        <v>1</v>
      </c>
      <c r="BH184" s="129">
        <v>0</v>
      </c>
      <c r="BI184" s="129"/>
      <c r="BJ184" s="129"/>
      <c r="BK184" s="71" t="s">
        <v>37</v>
      </c>
      <c r="BL184" s="129">
        <v>1299999</v>
      </c>
      <c r="BM184" s="129"/>
      <c r="BN184" s="129"/>
      <c r="BO184" s="130">
        <f>MAX(IF(BG184=1,BL196-600000,IF(BG184=2,BL196-500000,IF(BG184=3,BL196-400000,0))),)</f>
        <v>0</v>
      </c>
      <c r="BP184" s="130"/>
      <c r="BQ184" s="130"/>
      <c r="BR184" s="44"/>
      <c r="BS184" s="36">
        <f>IF(AND($BX$196&gt;=BT184,$BX$196&lt;=BX184,$BZ$200&lt;=10000000),1,(IF(AND($BX$196&gt;=BT184,$BX$196&lt;=BX184,$BZ$200&gt;10000000,$BZ$200&lt;=20000000),2,(IF(AND($BX$196&gt;=BT184,$BX$196&lt;=BX184,$BZ$200&gt;20000000),3,0)))))</f>
        <v>1</v>
      </c>
      <c r="BT184" s="129">
        <v>0</v>
      </c>
      <c r="BU184" s="129"/>
      <c r="BV184" s="129"/>
      <c r="BW184" s="71" t="s">
        <v>37</v>
      </c>
      <c r="BX184" s="129">
        <v>3299999</v>
      </c>
      <c r="BY184" s="129"/>
      <c r="BZ184" s="129"/>
      <c r="CA184" s="130">
        <f>MAX(IF(BS184=1,BX196-1100000,IF(BS184=2,BX196-1000000,IF(BS184=3,BX196-900000,0))),)</f>
        <v>0</v>
      </c>
      <c r="CB184" s="130"/>
      <c r="CC184" s="130"/>
    </row>
    <row r="185" spans="47:81" x14ac:dyDescent="0.15">
      <c r="AU185" s="36">
        <f t="shared" si="30"/>
        <v>0</v>
      </c>
      <c r="AV185" s="129">
        <v>651000</v>
      </c>
      <c r="AW185" s="129"/>
      <c r="AX185" s="129"/>
      <c r="AY185" s="89" t="s">
        <v>37</v>
      </c>
      <c r="AZ185" s="129">
        <v>1900000</v>
      </c>
      <c r="BA185" s="129"/>
      <c r="BB185" s="129"/>
      <c r="BC185" s="130">
        <f>IF(AU185=1,AZ196-650000,0)</f>
        <v>0</v>
      </c>
      <c r="BD185" s="130"/>
      <c r="BE185" s="130"/>
      <c r="BG185" s="36">
        <f>IF(AND($BL$196&gt;=BH185,$BL$196&lt;=BL185,$BN$200&lt;=10000000),1,(IF(AND($BL$196&gt;=BH185,$BL$196&lt;=BL185,$BN$200&gt;10000000,$BN$200&lt;=20000000),2,(IF(AND($BL$196&gt;=BH185,$BL$196&lt;=BL185,$BN$200&gt;20000000),3,0)))))</f>
        <v>0</v>
      </c>
      <c r="BH185" s="129">
        <v>1300000</v>
      </c>
      <c r="BI185" s="129"/>
      <c r="BJ185" s="129"/>
      <c r="BK185" s="71" t="s">
        <v>37</v>
      </c>
      <c r="BL185" s="129">
        <v>4099999</v>
      </c>
      <c r="BM185" s="129"/>
      <c r="BN185" s="129"/>
      <c r="BO185" s="130">
        <f>IF(BG185=1,BL196*0.75-275000,IF(BG185=2,BL196*0.75-175000,IF(BG185=3,BL196*0.75-75000,0)))</f>
        <v>0</v>
      </c>
      <c r="BP185" s="130"/>
      <c r="BQ185" s="130"/>
      <c r="BR185" s="44"/>
      <c r="BS185" s="36">
        <f t="shared" ref="BS185:BS186" si="31">IF(AND($BX$196&gt;=BT185,$BX$196&lt;=BX185,$BZ$200&lt;=10000000),1,(IF(AND($BX$196&gt;=BT185,$BX$196&lt;=BX185,$BZ$200&gt;10000000,$BZ$200&lt;=20000000),2,(IF(AND($BX$196&gt;=BT185,$BX$196&lt;=BX185,$BZ$200&gt;20000000),3,0)))))</f>
        <v>0</v>
      </c>
      <c r="BT185" s="129">
        <v>3300000</v>
      </c>
      <c r="BU185" s="129"/>
      <c r="BV185" s="129"/>
      <c r="BW185" s="71" t="s">
        <v>37</v>
      </c>
      <c r="BX185" s="129">
        <v>4099999</v>
      </c>
      <c r="BY185" s="129"/>
      <c r="BZ185" s="129"/>
      <c r="CA185" s="130">
        <f>IF(BS185=1,BX196*0.75-275000,IF(BS185=2,BX196*0.75-175000,IF(BS185=3,BX196*0.75-75000,0)))</f>
        <v>0</v>
      </c>
      <c r="CB185" s="130"/>
      <c r="CC185" s="130"/>
    </row>
    <row r="186" spans="47:81" x14ac:dyDescent="0.15">
      <c r="AU186" s="36">
        <f t="shared" si="30"/>
        <v>0</v>
      </c>
      <c r="AV186" s="129">
        <v>1900001</v>
      </c>
      <c r="AW186" s="129"/>
      <c r="AX186" s="129"/>
      <c r="AY186" s="93" t="s">
        <v>37</v>
      </c>
      <c r="AZ186" s="129">
        <v>3599999</v>
      </c>
      <c r="BA186" s="129"/>
      <c r="BB186" s="129"/>
      <c r="BC186" s="130">
        <f>IF(AU186=1,ROUNDDOWN(AZ196/4,-3)*2.8-80000,0)</f>
        <v>0</v>
      </c>
      <c r="BD186" s="130"/>
      <c r="BE186" s="130"/>
      <c r="BG186" s="36">
        <f t="shared" ref="BG186:BG187" si="32">IF(AND($BL$196&gt;=BH186,$BL$196&lt;=BL186,$BN$200&lt;=10000000),1,(IF(AND($BL$196&gt;=BH186,$BL$196&lt;=BL186,$BN$200&gt;10000000,$BN$200&lt;=20000000),2,(IF(AND($BL$196&gt;=BH186,$BL$196&lt;=BL186,$BN$200&gt;20000000),3,0)))))</f>
        <v>0</v>
      </c>
      <c r="BH186" s="129">
        <v>4100000</v>
      </c>
      <c r="BI186" s="129"/>
      <c r="BJ186" s="129"/>
      <c r="BK186" s="71" t="s">
        <v>37</v>
      </c>
      <c r="BL186" s="129">
        <v>7699999</v>
      </c>
      <c r="BM186" s="129"/>
      <c r="BN186" s="129"/>
      <c r="BO186" s="130">
        <f>IF(BG186=1,BL196*0.85-685000,IF(BG186=2,BL196*0.85-585000,IF(BG186=3,BL196*0.85-485000,0)))</f>
        <v>0</v>
      </c>
      <c r="BP186" s="130"/>
      <c r="BQ186" s="130"/>
      <c r="BR186" s="44"/>
      <c r="BS186" s="36">
        <f t="shared" si="31"/>
        <v>0</v>
      </c>
      <c r="BT186" s="129">
        <v>4100000</v>
      </c>
      <c r="BU186" s="129"/>
      <c r="BV186" s="129"/>
      <c r="BW186" s="71" t="s">
        <v>37</v>
      </c>
      <c r="BX186" s="129">
        <v>7699999</v>
      </c>
      <c r="BY186" s="129"/>
      <c r="BZ186" s="129"/>
      <c r="CA186" s="130">
        <f>IF(BS186=1,BX196*0.85-685000,IF(BS186=2,BX196*0.85-585000,IF(BS186=3,BX196*0.85-485000,0)))</f>
        <v>0</v>
      </c>
      <c r="CB186" s="130"/>
      <c r="CC186" s="130"/>
    </row>
    <row r="187" spans="47:81" x14ac:dyDescent="0.15">
      <c r="AU187" s="36">
        <f t="shared" si="30"/>
        <v>0</v>
      </c>
      <c r="AV187" s="129">
        <v>3600000</v>
      </c>
      <c r="AW187" s="129"/>
      <c r="AX187" s="129"/>
      <c r="AY187" s="93" t="s">
        <v>37</v>
      </c>
      <c r="AZ187" s="129">
        <v>6599999</v>
      </c>
      <c r="BA187" s="129"/>
      <c r="BB187" s="129"/>
      <c r="BC187" s="130">
        <f>IF(AU187=1,ROUNDDOWN(AZ196/4,-3)*3.2-440000,0)</f>
        <v>0</v>
      </c>
      <c r="BD187" s="130"/>
      <c r="BE187" s="130"/>
      <c r="BG187" s="36">
        <f t="shared" si="32"/>
        <v>0</v>
      </c>
      <c r="BH187" s="129">
        <v>7700000</v>
      </c>
      <c r="BI187" s="129"/>
      <c r="BJ187" s="129"/>
      <c r="BK187" s="71" t="s">
        <v>37</v>
      </c>
      <c r="BL187" s="129">
        <v>9999999</v>
      </c>
      <c r="BM187" s="129"/>
      <c r="BN187" s="129"/>
      <c r="BO187" s="130">
        <f>IF(BG187=1,BL196*0.95-1455000,IF(BG187=2,BL196*0.95-1355000,IF(BG187=3,BL196*0.95-1255000,0)))</f>
        <v>0</v>
      </c>
      <c r="BP187" s="130"/>
      <c r="BQ187" s="130"/>
      <c r="BR187" s="44"/>
      <c r="BS187" s="36">
        <f>IF(AND($BX$196&gt;=BT187,$BX$196&lt;=BX187,$BZ$200&lt;=10000000),1,(IF(AND($BX$196&gt;=BT187,$BX$196&lt;=BX187,$BZ$200&gt;10000000,$BZ$200&lt;=20000000),2,(IF(AND($BX$196&gt;=BT187,$BX$196&lt;=BX187,$BZ$200&gt;20000000),3,0)))))</f>
        <v>0</v>
      </c>
      <c r="BT187" s="129">
        <v>7700000</v>
      </c>
      <c r="BU187" s="129"/>
      <c r="BV187" s="129"/>
      <c r="BW187" s="71" t="s">
        <v>37</v>
      </c>
      <c r="BX187" s="129">
        <v>9999999</v>
      </c>
      <c r="BY187" s="129"/>
      <c r="BZ187" s="129"/>
      <c r="CA187" s="130">
        <f>IF(BS187=1,BX196*0.95-1455000,IF(BS187=2,BX196*0.95-1355000,IF(BS187=3,BX196*0.95-1255000,0)))</f>
        <v>0</v>
      </c>
      <c r="CB187" s="130"/>
      <c r="CC187" s="130"/>
    </row>
    <row r="188" spans="47:81" x14ac:dyDescent="0.15">
      <c r="AU188" s="36">
        <f t="shared" si="30"/>
        <v>0</v>
      </c>
      <c r="AV188" s="129">
        <v>6600000</v>
      </c>
      <c r="AW188" s="129"/>
      <c r="AX188" s="129"/>
      <c r="AY188" s="93" t="s">
        <v>37</v>
      </c>
      <c r="AZ188" s="129">
        <v>8499999</v>
      </c>
      <c r="BA188" s="129"/>
      <c r="BB188" s="129"/>
      <c r="BC188" s="130">
        <f>IF(AU188=1,AZ196*0.9-1100000,0)</f>
        <v>0</v>
      </c>
      <c r="BD188" s="130"/>
      <c r="BE188" s="130"/>
      <c r="BG188" s="36">
        <f>IF(AND($BL$196&gt;=BH188,$BN$200&lt;=10000000),1,(IF(AND($BL$196&gt;=BH188,$BN$200&gt;10000000,$BN$200&lt;=20000000),2,(IF(AND($BL$196&gt;=BH188,$BN$200&gt;20000000),3,0)))))</f>
        <v>0</v>
      </c>
      <c r="BH188" s="129">
        <v>10000000</v>
      </c>
      <c r="BI188" s="129"/>
      <c r="BJ188" s="129"/>
      <c r="BK188" s="71" t="s">
        <v>37</v>
      </c>
      <c r="BL188" s="129"/>
      <c r="BM188" s="129"/>
      <c r="BN188" s="129"/>
      <c r="BO188" s="130">
        <f>IF(BG188=1,BL196-1955000,IF(BG188=2,BL196-1855000,IF(BG188=3,BL196-1755000,0)))</f>
        <v>0</v>
      </c>
      <c r="BP188" s="130"/>
      <c r="BQ188" s="130"/>
      <c r="BR188" s="44"/>
      <c r="BS188" s="36">
        <f>IF(AND($BX$196&gt;=BT188,$BZ$200&lt;=10000000),1,(IF(AND($BX$196&gt;=BT188,$BZ$200&gt;10000000,$BZ$200&lt;=20000000),2,(IF(AND($BX$196&gt;=BT188,$BZ$200&gt;20000000),3,0)))))</f>
        <v>0</v>
      </c>
      <c r="BT188" s="129">
        <v>10000000</v>
      </c>
      <c r="BU188" s="129"/>
      <c r="BV188" s="129"/>
      <c r="BW188" s="71" t="s">
        <v>37</v>
      </c>
      <c r="BX188" s="129"/>
      <c r="BY188" s="129"/>
      <c r="BZ188" s="129"/>
      <c r="CA188" s="130">
        <f>IF(BS188=1,BX196-1955000,IF(BS188=2,BX196-1855000,IF(BS188=3,BX196-1755000,0)))</f>
        <v>0</v>
      </c>
      <c r="CB188" s="130"/>
      <c r="CC188" s="130"/>
    </row>
    <row r="189" spans="47:81" x14ac:dyDescent="0.15">
      <c r="AU189" s="36">
        <f>IF($AZ$196&gt;=AV189,1,0)</f>
        <v>0</v>
      </c>
      <c r="AV189" s="129">
        <v>8500000</v>
      </c>
      <c r="AW189" s="129"/>
      <c r="AX189" s="129"/>
      <c r="AY189" s="93" t="s">
        <v>37</v>
      </c>
      <c r="AZ189" s="129"/>
      <c r="BA189" s="129"/>
      <c r="BB189" s="129"/>
      <c r="BC189" s="130">
        <f>IF(AU189=1,AZ196-1950000,0)</f>
        <v>0</v>
      </c>
      <c r="BD189" s="130"/>
      <c r="BE189" s="130"/>
      <c r="BG189" s="36"/>
      <c r="BH189" s="129"/>
      <c r="BI189" s="129"/>
      <c r="BJ189" s="129"/>
      <c r="BK189" s="71" t="s">
        <v>37</v>
      </c>
      <c r="BL189" s="129"/>
      <c r="BM189" s="129"/>
      <c r="BN189" s="129"/>
      <c r="BO189" s="130"/>
      <c r="BP189" s="130"/>
      <c r="BQ189" s="130"/>
      <c r="BR189" s="44"/>
      <c r="BS189" s="36"/>
      <c r="BT189" s="129"/>
      <c r="BU189" s="129"/>
      <c r="BV189" s="129"/>
      <c r="BW189" s="71" t="s">
        <v>37</v>
      </c>
      <c r="BX189" s="129"/>
      <c r="BY189" s="129"/>
      <c r="BZ189" s="129"/>
      <c r="CA189" s="130"/>
      <c r="CB189" s="130"/>
      <c r="CC189" s="130"/>
    </row>
    <row r="190" spans="47:81" x14ac:dyDescent="0.15">
      <c r="AU190" s="36"/>
      <c r="AV190" s="129"/>
      <c r="AW190" s="129"/>
      <c r="AX190" s="129"/>
      <c r="AY190" s="89" t="s">
        <v>37</v>
      </c>
      <c r="AZ190" s="129"/>
      <c r="BA190" s="129"/>
      <c r="BB190" s="129"/>
      <c r="BC190" s="130"/>
      <c r="BD190" s="130"/>
      <c r="BE190" s="130"/>
      <c r="BG190" s="36"/>
      <c r="BH190" s="129"/>
      <c r="BI190" s="129"/>
      <c r="BJ190" s="129"/>
      <c r="BK190" s="71" t="s">
        <v>37</v>
      </c>
      <c r="BL190" s="129"/>
      <c r="BM190" s="129"/>
      <c r="BN190" s="129"/>
      <c r="BO190" s="130"/>
      <c r="BP190" s="130"/>
      <c r="BQ190" s="130"/>
      <c r="BR190" s="44"/>
      <c r="BS190" s="36"/>
      <c r="BT190" s="129"/>
      <c r="BU190" s="129"/>
      <c r="BV190" s="129"/>
      <c r="BW190" s="71" t="s">
        <v>37</v>
      </c>
      <c r="BX190" s="129"/>
      <c r="BY190" s="129"/>
      <c r="BZ190" s="129"/>
      <c r="CA190" s="130"/>
      <c r="CB190" s="130"/>
      <c r="CC190" s="130"/>
    </row>
    <row r="191" spans="47:81" x14ac:dyDescent="0.15">
      <c r="AU191" s="36"/>
      <c r="AV191" s="129"/>
      <c r="AW191" s="129"/>
      <c r="AX191" s="129"/>
      <c r="AY191" s="89" t="s">
        <v>37</v>
      </c>
      <c r="AZ191" s="129"/>
      <c r="BA191" s="129"/>
      <c r="BB191" s="129"/>
      <c r="BC191" s="130"/>
      <c r="BD191" s="130"/>
      <c r="BE191" s="130"/>
      <c r="BG191" s="36"/>
      <c r="BH191" s="129"/>
      <c r="BI191" s="129"/>
      <c r="BJ191" s="129"/>
      <c r="BK191" s="71" t="s">
        <v>37</v>
      </c>
      <c r="BL191" s="129"/>
      <c r="BM191" s="129"/>
      <c r="BN191" s="129"/>
      <c r="BO191" s="130"/>
      <c r="BP191" s="130"/>
      <c r="BQ191" s="130"/>
      <c r="BR191" s="44"/>
      <c r="BS191" s="36"/>
      <c r="BT191" s="129"/>
      <c r="BU191" s="129"/>
      <c r="BV191" s="129"/>
      <c r="BW191" s="71" t="s">
        <v>37</v>
      </c>
      <c r="BX191" s="129"/>
      <c r="BY191" s="129"/>
      <c r="BZ191" s="129"/>
      <c r="CA191" s="130"/>
      <c r="CB191" s="130"/>
      <c r="CC191" s="130"/>
    </row>
    <row r="192" spans="47:81" x14ac:dyDescent="0.15">
      <c r="AU192" s="36"/>
      <c r="AV192" s="129"/>
      <c r="AW192" s="129"/>
      <c r="AX192" s="129"/>
      <c r="AY192" s="89" t="s">
        <v>37</v>
      </c>
      <c r="AZ192" s="129"/>
      <c r="BA192" s="129"/>
      <c r="BB192" s="129"/>
      <c r="BC192" s="130"/>
      <c r="BD192" s="130"/>
      <c r="BE192" s="130"/>
      <c r="BG192" s="36"/>
      <c r="BH192" s="129"/>
      <c r="BI192" s="129"/>
      <c r="BJ192" s="129"/>
      <c r="BK192" s="71" t="s">
        <v>37</v>
      </c>
      <c r="BL192" s="129"/>
      <c r="BM192" s="129"/>
      <c r="BN192" s="129"/>
      <c r="BO192" s="130"/>
      <c r="BP192" s="130"/>
      <c r="BQ192" s="130"/>
      <c r="BR192" s="44"/>
      <c r="BS192" s="36"/>
      <c r="BT192" s="129"/>
      <c r="BU192" s="129"/>
      <c r="BV192" s="129"/>
      <c r="BW192" s="71" t="s">
        <v>37</v>
      </c>
      <c r="BX192" s="129"/>
      <c r="BY192" s="129"/>
      <c r="BZ192" s="129"/>
      <c r="CA192" s="130"/>
      <c r="CB192" s="130"/>
      <c r="CC192" s="130"/>
    </row>
    <row r="193" spans="47:81" x14ac:dyDescent="0.15">
      <c r="AU193" s="36"/>
      <c r="AV193" s="129"/>
      <c r="AW193" s="129"/>
      <c r="AX193" s="129"/>
      <c r="AY193" s="89" t="s">
        <v>37</v>
      </c>
      <c r="AZ193" s="129"/>
      <c r="BA193" s="129"/>
      <c r="BB193" s="129"/>
      <c r="BC193" s="130"/>
      <c r="BD193" s="130"/>
      <c r="BE193" s="130"/>
      <c r="BG193" s="36"/>
      <c r="BH193" s="129"/>
      <c r="BI193" s="129"/>
      <c r="BJ193" s="129"/>
      <c r="BK193" s="71" t="s">
        <v>37</v>
      </c>
      <c r="BL193" s="129"/>
      <c r="BM193" s="129"/>
      <c r="BN193" s="129"/>
      <c r="BO193" s="130"/>
      <c r="BP193" s="130"/>
      <c r="BQ193" s="130"/>
      <c r="BR193" s="44"/>
      <c r="BS193" s="36"/>
      <c r="BT193" s="129"/>
      <c r="BU193" s="129"/>
      <c r="BV193" s="129"/>
      <c r="BW193" s="71" t="s">
        <v>37</v>
      </c>
      <c r="BX193" s="129"/>
      <c r="BY193" s="129"/>
      <c r="BZ193" s="129"/>
      <c r="CA193" s="130"/>
      <c r="CB193" s="130"/>
      <c r="CC193" s="130"/>
    </row>
    <row r="194" spans="47:81" x14ac:dyDescent="0.15">
      <c r="AU194" s="36"/>
      <c r="AV194" s="129"/>
      <c r="AW194" s="129"/>
      <c r="AX194" s="129"/>
      <c r="AY194" s="89" t="s">
        <v>37</v>
      </c>
      <c r="AZ194" s="129"/>
      <c r="BA194" s="129"/>
      <c r="BB194" s="129"/>
      <c r="BC194" s="130"/>
      <c r="BD194" s="130"/>
      <c r="BE194" s="130"/>
      <c r="BG194" s="36"/>
      <c r="BH194" s="129"/>
      <c r="BI194" s="129"/>
      <c r="BJ194" s="129"/>
      <c r="BK194" s="71" t="s">
        <v>37</v>
      </c>
      <c r="BL194" s="129"/>
      <c r="BM194" s="129"/>
      <c r="BN194" s="129"/>
      <c r="BO194" s="130"/>
      <c r="BP194" s="130"/>
      <c r="BQ194" s="130"/>
      <c r="BR194" s="44"/>
      <c r="BS194" s="36"/>
      <c r="BT194" s="129"/>
      <c r="BU194" s="129"/>
      <c r="BV194" s="129"/>
      <c r="BW194" s="71" t="s">
        <v>37</v>
      </c>
      <c r="BX194" s="129"/>
      <c r="BY194" s="129"/>
      <c r="BZ194" s="129"/>
      <c r="CA194" s="130"/>
      <c r="CB194" s="130"/>
      <c r="CC194" s="130"/>
    </row>
    <row r="195" spans="47:81" x14ac:dyDescent="0.15">
      <c r="AU195" s="70"/>
      <c r="AV195" s="41"/>
      <c r="AW195" s="41"/>
      <c r="AX195" s="41"/>
      <c r="AY195" s="70"/>
      <c r="AZ195" s="33"/>
      <c r="BA195" s="33"/>
      <c r="BB195" s="33"/>
      <c r="BC195" s="38"/>
      <c r="BD195" s="38"/>
      <c r="BE195" s="38"/>
      <c r="BG195" s="70"/>
      <c r="BH195" s="41"/>
      <c r="BI195" s="41"/>
      <c r="BJ195" s="41"/>
      <c r="BK195" s="70"/>
      <c r="BL195" s="33"/>
      <c r="BM195" s="33"/>
      <c r="BN195" s="33"/>
      <c r="BO195" s="38"/>
      <c r="BP195" s="38"/>
      <c r="BQ195" s="38"/>
      <c r="BR195" s="38"/>
      <c r="BS195" s="70"/>
      <c r="BT195" s="41"/>
      <c r="BU195" s="41"/>
      <c r="BV195" s="41"/>
      <c r="BW195" s="70"/>
      <c r="BX195" s="33"/>
      <c r="BY195" s="33"/>
      <c r="BZ195" s="33"/>
      <c r="CA195" s="38"/>
      <c r="CB195" s="38"/>
      <c r="CC195" s="38"/>
    </row>
    <row r="196" spans="47:81" x14ac:dyDescent="0.15">
      <c r="AU196" s="70"/>
      <c r="AV196" s="120" t="s">
        <v>31</v>
      </c>
      <c r="AW196" s="120"/>
      <c r="AX196" s="120"/>
      <c r="AY196" s="120"/>
      <c r="AZ196" s="121">
        <f>F28</f>
        <v>0</v>
      </c>
      <c r="BA196" s="122"/>
      <c r="BB196" s="123"/>
      <c r="BC196" s="39"/>
      <c r="BD196" s="40"/>
      <c r="BE196" s="40"/>
      <c r="BG196" s="70"/>
      <c r="BH196" s="120" t="s">
        <v>43</v>
      </c>
      <c r="BI196" s="120"/>
      <c r="BJ196" s="120"/>
      <c r="BK196" s="120"/>
      <c r="BL196" s="124">
        <f>J28</f>
        <v>0</v>
      </c>
      <c r="BM196" s="124"/>
      <c r="BN196" s="124"/>
      <c r="BO196" s="39"/>
      <c r="BP196" s="40"/>
      <c r="BQ196" s="40"/>
      <c r="BR196" s="40"/>
      <c r="BS196" s="70"/>
      <c r="BT196" s="120" t="s">
        <v>43</v>
      </c>
      <c r="BU196" s="120"/>
      <c r="BV196" s="120"/>
      <c r="BW196" s="120"/>
      <c r="BX196" s="124">
        <f>BL196</f>
        <v>0</v>
      </c>
      <c r="BY196" s="124"/>
      <c r="BZ196" s="124"/>
      <c r="CA196" s="39"/>
      <c r="CB196" s="40"/>
      <c r="CC196" s="40"/>
    </row>
    <row r="197" spans="47:81" x14ac:dyDescent="0.15">
      <c r="AV197" s="120" t="s">
        <v>42</v>
      </c>
      <c r="AW197" s="120"/>
      <c r="AX197" s="120"/>
      <c r="AY197" s="120"/>
      <c r="AZ197" s="127">
        <f>SUM(BC184:BE194)</f>
        <v>0</v>
      </c>
      <c r="BA197" s="125"/>
      <c r="BB197" s="125"/>
      <c r="BH197" s="120" t="s">
        <v>44</v>
      </c>
      <c r="BI197" s="120"/>
      <c r="BJ197" s="120"/>
      <c r="BK197" s="120"/>
      <c r="BL197" s="127">
        <f>SUM(BO184:BQ194)</f>
        <v>0</v>
      </c>
      <c r="BM197" s="125"/>
      <c r="BN197" s="125"/>
      <c r="BO197" s="57">
        <f>IF(D28&lt;65,1,0)</f>
        <v>1</v>
      </c>
      <c r="BT197" s="120" t="s">
        <v>44</v>
      </c>
      <c r="BU197" s="120"/>
      <c r="BV197" s="120"/>
      <c r="BW197" s="120"/>
      <c r="BX197" s="127">
        <f>SUM(CA184:CC194)</f>
        <v>0</v>
      </c>
      <c r="BY197" s="125"/>
      <c r="BZ197" s="125"/>
      <c r="CA197" s="57">
        <f>IF(D28&lt;65,0,1)</f>
        <v>0</v>
      </c>
    </row>
    <row r="198" spans="47:81" x14ac:dyDescent="0.15">
      <c r="BL198" s="42"/>
      <c r="BM198" s="42"/>
      <c r="BN198" s="42"/>
      <c r="BX198" s="42"/>
      <c r="BY198" s="42"/>
      <c r="BZ198" s="42"/>
    </row>
    <row r="199" spans="47:81" x14ac:dyDescent="0.15">
      <c r="BG199" s="125" t="s">
        <v>45</v>
      </c>
      <c r="BH199" s="125"/>
      <c r="BI199" s="125"/>
      <c r="BJ199" s="125"/>
      <c r="BK199" s="125"/>
      <c r="BL199" s="125"/>
      <c r="BM199" s="125"/>
      <c r="BN199" s="125"/>
      <c r="BO199" s="125"/>
      <c r="BP199" s="125"/>
      <c r="BQ199" s="125"/>
      <c r="BR199" s="61"/>
      <c r="BS199" s="125" t="s">
        <v>45</v>
      </c>
      <c r="BT199" s="125"/>
      <c r="BU199" s="125"/>
      <c r="BV199" s="125"/>
      <c r="BW199" s="125"/>
      <c r="BX199" s="125"/>
      <c r="BY199" s="125"/>
      <c r="BZ199" s="125"/>
      <c r="CA199" s="125"/>
      <c r="CB199" s="125"/>
      <c r="CC199" s="125"/>
    </row>
    <row r="200" spans="47:81" x14ac:dyDescent="0.15">
      <c r="BN200" s="128">
        <f>V28</f>
        <v>0</v>
      </c>
      <c r="BO200" s="128"/>
      <c r="BP200" s="128"/>
      <c r="BQ200" s="128"/>
      <c r="BR200" s="45"/>
      <c r="BZ200" s="128">
        <f>BN200</f>
        <v>0</v>
      </c>
      <c r="CA200" s="128"/>
      <c r="CB200" s="128"/>
      <c r="CC200" s="128"/>
    </row>
    <row r="201" spans="47:81" x14ac:dyDescent="0.15">
      <c r="AV201" t="s">
        <v>80</v>
      </c>
    </row>
    <row r="202" spans="47:81" x14ac:dyDescent="0.15">
      <c r="AV202" s="125" t="s">
        <v>42</v>
      </c>
      <c r="AW202" s="125"/>
      <c r="AX202" s="125"/>
      <c r="AY202" s="125"/>
      <c r="AZ202" s="127">
        <f>AZ197</f>
        <v>0</v>
      </c>
      <c r="BA202" s="125"/>
      <c r="BB202" s="125"/>
      <c r="BD202" t="s">
        <v>87</v>
      </c>
    </row>
    <row r="203" spans="47:81" x14ac:dyDescent="0.15">
      <c r="AV203" s="125" t="s">
        <v>48</v>
      </c>
      <c r="AW203" s="125"/>
      <c r="AX203" s="125"/>
      <c r="AY203" s="125"/>
      <c r="AZ203" s="126">
        <f>IF(BO197=1,BL197,IF(CA197=1,BX197,0))</f>
        <v>0</v>
      </c>
      <c r="BA203" s="126"/>
      <c r="BB203" s="126"/>
      <c r="BD203" t="s">
        <v>86</v>
      </c>
    </row>
    <row r="204" spans="47:81" x14ac:dyDescent="0.15">
      <c r="AV204" s="125" t="s">
        <v>49</v>
      </c>
      <c r="AW204" s="125"/>
      <c r="AX204" s="125"/>
      <c r="AY204" s="125"/>
      <c r="AZ204" s="127">
        <f>SUM(AZ202:BB203)+IF((AND(AZ202&gt;0,AZ203&gt;0,(AZ202+AZ203)&gt;100000)),-100000,0)</f>
        <v>0</v>
      </c>
      <c r="BA204" s="125"/>
      <c r="BB204" s="125"/>
      <c r="BD204" t="s">
        <v>70</v>
      </c>
      <c r="BR204" s="62"/>
    </row>
    <row r="206" spans="47:81" x14ac:dyDescent="0.15">
      <c r="AV206" s="125" t="s">
        <v>66</v>
      </c>
      <c r="AW206" s="125"/>
      <c r="AX206" s="125"/>
      <c r="AY206" s="125"/>
      <c r="AZ206" s="126">
        <f>MAX(IF(BO197=1,BL197,IF(CA197=1,BX197-150000,0)),0)</f>
        <v>0</v>
      </c>
      <c r="BA206" s="126"/>
      <c r="BB206" s="126"/>
    </row>
    <row r="208" spans="47:81" x14ac:dyDescent="0.15">
      <c r="AU208" s="133" t="s">
        <v>36</v>
      </c>
      <c r="AV208" s="134"/>
      <c r="AW208" s="134"/>
      <c r="AX208" s="134"/>
      <c r="AY208" s="134"/>
      <c r="AZ208" s="134"/>
      <c r="BA208" s="134"/>
      <c r="BB208" s="134"/>
      <c r="BC208" s="134"/>
      <c r="BD208" s="134"/>
      <c r="BE208" s="135"/>
      <c r="BG208" s="46"/>
      <c r="BH208" s="133" t="s">
        <v>47</v>
      </c>
      <c r="BI208" s="134"/>
      <c r="BJ208" s="134"/>
      <c r="BK208" s="134"/>
      <c r="BL208" s="134"/>
      <c r="BM208" s="134"/>
      <c r="BN208" s="134"/>
      <c r="BO208" s="134"/>
      <c r="BP208" s="134"/>
      <c r="BQ208" s="135"/>
      <c r="BR208" s="61"/>
      <c r="BS208" s="46"/>
      <c r="BT208" s="133" t="s">
        <v>46</v>
      </c>
      <c r="BU208" s="134"/>
      <c r="BV208" s="134"/>
      <c r="BW208" s="134"/>
      <c r="BX208" s="134"/>
      <c r="BY208" s="134"/>
      <c r="BZ208" s="134"/>
      <c r="CA208" s="134"/>
      <c r="CB208" s="134"/>
      <c r="CC208" s="135"/>
    </row>
    <row r="209" spans="47:81" x14ac:dyDescent="0.15">
      <c r="AU209" s="136"/>
      <c r="AV209" s="131" t="s">
        <v>38</v>
      </c>
      <c r="AW209" s="131"/>
      <c r="AX209" s="131"/>
      <c r="AY209" s="131"/>
      <c r="AZ209" s="131"/>
      <c r="BA209" s="131"/>
      <c r="BB209" s="131"/>
      <c r="BC209" s="131" t="s">
        <v>39</v>
      </c>
      <c r="BD209" s="131"/>
      <c r="BE209" s="131"/>
      <c r="BG209" s="136"/>
      <c r="BH209" s="131" t="s">
        <v>38</v>
      </c>
      <c r="BI209" s="131"/>
      <c r="BJ209" s="131"/>
      <c r="BK209" s="131"/>
      <c r="BL209" s="131"/>
      <c r="BM209" s="131"/>
      <c r="BN209" s="131"/>
      <c r="BO209" s="131" t="s">
        <v>39</v>
      </c>
      <c r="BP209" s="131"/>
      <c r="BQ209" s="131"/>
      <c r="BR209" s="43"/>
      <c r="BS209" s="136"/>
      <c r="BT209" s="131" t="s">
        <v>38</v>
      </c>
      <c r="BU209" s="131"/>
      <c r="BV209" s="131"/>
      <c r="BW209" s="131"/>
      <c r="BX209" s="131"/>
      <c r="BY209" s="131"/>
      <c r="BZ209" s="131"/>
      <c r="CA209" s="131" t="s">
        <v>39</v>
      </c>
      <c r="CB209" s="131"/>
      <c r="CC209" s="131"/>
    </row>
    <row r="210" spans="47:81" x14ac:dyDescent="0.15">
      <c r="AU210" s="137"/>
      <c r="AV210" s="132"/>
      <c r="AW210" s="132"/>
      <c r="AX210" s="132"/>
      <c r="AY210" s="132"/>
      <c r="AZ210" s="132"/>
      <c r="BA210" s="132"/>
      <c r="BB210" s="132"/>
      <c r="BC210" s="132"/>
      <c r="BD210" s="132"/>
      <c r="BE210" s="132"/>
      <c r="BG210" s="137"/>
      <c r="BH210" s="132"/>
      <c r="BI210" s="132"/>
      <c r="BJ210" s="132"/>
      <c r="BK210" s="132"/>
      <c r="BL210" s="132"/>
      <c r="BM210" s="132"/>
      <c r="BN210" s="132"/>
      <c r="BO210" s="132"/>
      <c r="BP210" s="132"/>
      <c r="BQ210" s="132"/>
      <c r="BR210" s="69"/>
      <c r="BS210" s="137"/>
      <c r="BT210" s="132"/>
      <c r="BU210" s="132"/>
      <c r="BV210" s="132"/>
      <c r="BW210" s="132"/>
      <c r="BX210" s="132"/>
      <c r="BY210" s="132"/>
      <c r="BZ210" s="132"/>
      <c r="CA210" s="132"/>
      <c r="CB210" s="132"/>
      <c r="CC210" s="132"/>
    </row>
    <row r="211" spans="47:81" x14ac:dyDescent="0.15">
      <c r="AU211" s="36">
        <f>IF(AND($AZ$223&gt;=AV211,$AZ$223&lt;=AZ211),1,0)</f>
        <v>1</v>
      </c>
      <c r="AV211" s="129">
        <v>0</v>
      </c>
      <c r="AW211" s="129"/>
      <c r="AX211" s="129"/>
      <c r="AY211" s="89" t="s">
        <v>37</v>
      </c>
      <c r="AZ211" s="129">
        <v>650999</v>
      </c>
      <c r="BA211" s="129"/>
      <c r="BB211" s="129"/>
      <c r="BC211" s="130">
        <f>IF(AU211=1,0,0)</f>
        <v>0</v>
      </c>
      <c r="BD211" s="130"/>
      <c r="BE211" s="130"/>
      <c r="BG211" s="36">
        <f>IF(AND($BL$223&gt;=BH211,$BL$223&lt;=BL211,$BN$227&lt;=10000000),1,(IF(AND($BL$223&gt;=BH211,$BL$223&lt;=BL211,$BN$227&gt;10000000,$BN$227&lt;=20000000),2,(IF(AND($BL$223&gt;=BH211,$BL$223&lt;=BL211,$BN$227&gt;20000000),3,0)))))</f>
        <v>1</v>
      </c>
      <c r="BH211" s="129">
        <v>0</v>
      </c>
      <c r="BI211" s="129"/>
      <c r="BJ211" s="129"/>
      <c r="BK211" s="71" t="s">
        <v>37</v>
      </c>
      <c r="BL211" s="129">
        <v>1299999</v>
      </c>
      <c r="BM211" s="129"/>
      <c r="BN211" s="129"/>
      <c r="BO211" s="130">
        <f>MAX(IF(BG211=1,BL223-600000,IF(BG211=2,BL223-500000,IF(BG211=3,BL223-400000,0))),)</f>
        <v>0</v>
      </c>
      <c r="BP211" s="130"/>
      <c r="BQ211" s="130"/>
      <c r="BR211" s="44"/>
      <c r="BS211" s="36">
        <f>IF(AND($BX$223&gt;=BT211,$BX$223&lt;=BX211,$BZ$227&lt;=10000000),1,(IF(AND($BX$223&gt;=BT211,$BX$223&lt;=BX211,$BZ$227&gt;10000000,$BZ$227&lt;=20000000),2,(IF(AND($BX$223&gt;=BT211,$BX$223&lt;=BX211,$BZ$227&gt;20000000),3,0)))))</f>
        <v>1</v>
      </c>
      <c r="BT211" s="129">
        <v>0</v>
      </c>
      <c r="BU211" s="129"/>
      <c r="BV211" s="129"/>
      <c r="BW211" s="71" t="s">
        <v>37</v>
      </c>
      <c r="BX211" s="129">
        <v>3299999</v>
      </c>
      <c r="BY211" s="129"/>
      <c r="BZ211" s="129"/>
      <c r="CA211" s="130">
        <f>MAX(IF(BS211=1,BX223-1100000,IF(BS211=2,BX223-1000000,IF(BS211=3,BX223-900000,0))),)</f>
        <v>0</v>
      </c>
      <c r="CB211" s="130"/>
      <c r="CC211" s="130"/>
    </row>
    <row r="212" spans="47:81" x14ac:dyDescent="0.15">
      <c r="AU212" s="36">
        <f t="shared" ref="AU212:AU215" si="33">IF(AND($AZ$223&gt;=AV212,$AZ$223&lt;=AZ212),1,0)</f>
        <v>0</v>
      </c>
      <c r="AV212" s="129">
        <v>651000</v>
      </c>
      <c r="AW212" s="129"/>
      <c r="AX212" s="129"/>
      <c r="AY212" s="89" t="s">
        <v>37</v>
      </c>
      <c r="AZ212" s="129">
        <v>1900000</v>
      </c>
      <c r="BA212" s="129"/>
      <c r="BB212" s="129"/>
      <c r="BC212" s="130">
        <f>IF(AU212=1,AZ223-650000,0)</f>
        <v>0</v>
      </c>
      <c r="BD212" s="130"/>
      <c r="BE212" s="130"/>
      <c r="BG212" s="36">
        <f t="shared" ref="BG212:BG214" si="34">IF(AND($BL$223&gt;=BH212,$BL$223&lt;=BL212,$BN$227&lt;=10000000),1,(IF(AND($BL$223&gt;=BH212,$BL$223&lt;=BL212,$BN$227&gt;10000000,$BN$227&lt;=20000000),2,(IF(AND($BL$223&gt;=BH212,$BL$223&lt;=BL212,$BN$227&gt;20000000),3,0)))))</f>
        <v>0</v>
      </c>
      <c r="BH212" s="129">
        <v>1300000</v>
      </c>
      <c r="BI212" s="129"/>
      <c r="BJ212" s="129"/>
      <c r="BK212" s="71" t="s">
        <v>37</v>
      </c>
      <c r="BL212" s="129">
        <v>4099999</v>
      </c>
      <c r="BM212" s="129"/>
      <c r="BN212" s="129"/>
      <c r="BO212" s="130">
        <f>IF(BG212=1,BL223*0.75-275000,IF(BG212=2,BL223*0.75-175000,IF(BG212=3,BL223*0.75-75000,0)))</f>
        <v>0</v>
      </c>
      <c r="BP212" s="130"/>
      <c r="BQ212" s="130"/>
      <c r="BR212" s="44"/>
      <c r="BS212" s="36">
        <f t="shared" ref="BS212:BS214" si="35">IF(AND($BX$223&gt;=BT212,$BX$223&lt;=BX212,$BZ$227&lt;=10000000),1,(IF(AND($BX$223&gt;=BT212,$BX$223&lt;=BX212,$BZ$227&gt;10000000,$BZ$227&lt;=20000000),2,(IF(AND($BX$223&gt;=BT212,$BX$223&lt;=BX212,$BZ$227&gt;20000000),3,0)))))</f>
        <v>0</v>
      </c>
      <c r="BT212" s="129">
        <v>3300000</v>
      </c>
      <c r="BU212" s="129"/>
      <c r="BV212" s="129"/>
      <c r="BW212" s="71" t="s">
        <v>37</v>
      </c>
      <c r="BX212" s="129">
        <v>4099999</v>
      </c>
      <c r="BY212" s="129"/>
      <c r="BZ212" s="129"/>
      <c r="CA212" s="130">
        <f>IF(BS212=1,BX223*0.75-275000,IF(BS212=2,BX223*0.75-175000,IF(BS212=3,BX223*0.75-75000,0)))</f>
        <v>0</v>
      </c>
      <c r="CB212" s="130"/>
      <c r="CC212" s="130"/>
    </row>
    <row r="213" spans="47:81" x14ac:dyDescent="0.15">
      <c r="AU213" s="36">
        <f>IF(AND($AZ$223&gt;=AV213,$AZ$223&lt;=AZ213),1,0)</f>
        <v>0</v>
      </c>
      <c r="AV213" s="129">
        <v>1900001</v>
      </c>
      <c r="AW213" s="129"/>
      <c r="AX213" s="129"/>
      <c r="AY213" s="93" t="s">
        <v>37</v>
      </c>
      <c r="AZ213" s="129">
        <v>3599999</v>
      </c>
      <c r="BA213" s="129"/>
      <c r="BB213" s="129"/>
      <c r="BC213" s="130">
        <f>IF(AU213=1,ROUNDDOWN(AZ223/4,-3)*2.8-80000,0)</f>
        <v>0</v>
      </c>
      <c r="BD213" s="130"/>
      <c r="BE213" s="130"/>
      <c r="BG213" s="36">
        <f t="shared" si="34"/>
        <v>0</v>
      </c>
      <c r="BH213" s="129">
        <v>4100000</v>
      </c>
      <c r="BI213" s="129"/>
      <c r="BJ213" s="129"/>
      <c r="BK213" s="71" t="s">
        <v>37</v>
      </c>
      <c r="BL213" s="129">
        <v>7699999</v>
      </c>
      <c r="BM213" s="129"/>
      <c r="BN213" s="129"/>
      <c r="BO213" s="130">
        <f>IF(BG213=1,BL223*0.85-685000,IF(BG213=2,BL223*0.85-585000,IF(BG213=3,BL223*0.85-485000,0)))</f>
        <v>0</v>
      </c>
      <c r="BP213" s="130"/>
      <c r="BQ213" s="130"/>
      <c r="BR213" s="44"/>
      <c r="BS213" s="36">
        <f t="shared" si="35"/>
        <v>0</v>
      </c>
      <c r="BT213" s="129">
        <v>4100000</v>
      </c>
      <c r="BU213" s="129"/>
      <c r="BV213" s="129"/>
      <c r="BW213" s="71" t="s">
        <v>37</v>
      </c>
      <c r="BX213" s="129">
        <v>7699999</v>
      </c>
      <c r="BY213" s="129"/>
      <c r="BZ213" s="129"/>
      <c r="CA213" s="130">
        <f>IF(BS213=1,BX223*0.85-685000,IF(BS213=2,BX223*0.85-585000,IF(BS213=3,BX223*0.85-485000,0)))</f>
        <v>0</v>
      </c>
      <c r="CB213" s="130"/>
      <c r="CC213" s="130"/>
    </row>
    <row r="214" spans="47:81" x14ac:dyDescent="0.15">
      <c r="AU214" s="36">
        <f t="shared" si="33"/>
        <v>0</v>
      </c>
      <c r="AV214" s="129">
        <v>3600000</v>
      </c>
      <c r="AW214" s="129"/>
      <c r="AX214" s="129"/>
      <c r="AY214" s="93" t="s">
        <v>37</v>
      </c>
      <c r="AZ214" s="129">
        <v>6599999</v>
      </c>
      <c r="BA214" s="129"/>
      <c r="BB214" s="129"/>
      <c r="BC214" s="130">
        <f>IF(AU214=1,ROUNDDOWN(AZ223/4,-3)*3.2-440000,0)</f>
        <v>0</v>
      </c>
      <c r="BD214" s="130"/>
      <c r="BE214" s="130"/>
      <c r="BG214" s="36">
        <f t="shared" si="34"/>
        <v>0</v>
      </c>
      <c r="BH214" s="129">
        <v>7700000</v>
      </c>
      <c r="BI214" s="129"/>
      <c r="BJ214" s="129"/>
      <c r="BK214" s="71" t="s">
        <v>37</v>
      </c>
      <c r="BL214" s="129">
        <v>9999999</v>
      </c>
      <c r="BM214" s="129"/>
      <c r="BN214" s="129"/>
      <c r="BO214" s="130">
        <f>IF(BG214=1,BL223*0.95-1455000,IF(BG214=2,BL223*0.95-1355000,IF(BG214=3,BL223*0.95-1255000,0)))</f>
        <v>0</v>
      </c>
      <c r="BP214" s="130"/>
      <c r="BQ214" s="130"/>
      <c r="BR214" s="44"/>
      <c r="BS214" s="36">
        <f t="shared" si="35"/>
        <v>0</v>
      </c>
      <c r="BT214" s="129">
        <v>7700000</v>
      </c>
      <c r="BU214" s="129"/>
      <c r="BV214" s="129"/>
      <c r="BW214" s="71" t="s">
        <v>37</v>
      </c>
      <c r="BX214" s="129">
        <v>9999999</v>
      </c>
      <c r="BY214" s="129"/>
      <c r="BZ214" s="129"/>
      <c r="CA214" s="130">
        <f>IF(BS214=1,BX223*0.95-1455000,IF(BS214=2,BX223*0.95-1355000,IF(BS214=3,BX223*0.95-1255000,0)))</f>
        <v>0</v>
      </c>
      <c r="CB214" s="130"/>
      <c r="CC214" s="130"/>
    </row>
    <row r="215" spans="47:81" x14ac:dyDescent="0.15">
      <c r="AU215" s="36">
        <f t="shared" si="33"/>
        <v>0</v>
      </c>
      <c r="AV215" s="129">
        <v>6600000</v>
      </c>
      <c r="AW215" s="129"/>
      <c r="AX215" s="129"/>
      <c r="AY215" s="93" t="s">
        <v>37</v>
      </c>
      <c r="AZ215" s="129">
        <v>8499999</v>
      </c>
      <c r="BA215" s="129"/>
      <c r="BB215" s="129"/>
      <c r="BC215" s="130">
        <f>IF(AU215=1,AZ223*0.9-1100000,0)</f>
        <v>0</v>
      </c>
      <c r="BD215" s="130"/>
      <c r="BE215" s="130"/>
      <c r="BG215" s="36">
        <f>IF(AND($BL$223&gt;=BH215,$BN$227&lt;=10000000),1,(IF(AND($BL$223&gt;=BH215,$BN$227&gt;10000000,$BN$227&lt;=20000000),2,(IF(AND($BL$223&gt;=BH215,$BN$227&gt;20000000),3,0)))))</f>
        <v>0</v>
      </c>
      <c r="BH215" s="129">
        <v>10000000</v>
      </c>
      <c r="BI215" s="129"/>
      <c r="BJ215" s="129"/>
      <c r="BK215" s="71" t="s">
        <v>37</v>
      </c>
      <c r="BL215" s="129"/>
      <c r="BM215" s="129"/>
      <c r="BN215" s="129"/>
      <c r="BO215" s="130">
        <f>IF(BG215=1,BL223-1955000,IF(BG215=2,BL223-1855000,IF(BG215=3,BL223-1755000,0)))</f>
        <v>0</v>
      </c>
      <c r="BP215" s="130"/>
      <c r="BQ215" s="130"/>
      <c r="BR215" s="44"/>
      <c r="BS215" s="36">
        <f>IF(AND($BX$223&gt;=BT215,$BZ$227&lt;=10000000),1,(IF(AND($BX$223&gt;=BT215,$BZ$227&gt;10000000,$BZ$227&lt;=20000000),2,(IF(AND($BX$223&gt;=BT215,$BZ$227&gt;20000000),3,0)))))</f>
        <v>0</v>
      </c>
      <c r="BT215" s="129">
        <v>10000000</v>
      </c>
      <c r="BU215" s="129"/>
      <c r="BV215" s="129"/>
      <c r="BW215" s="71" t="s">
        <v>37</v>
      </c>
      <c r="BX215" s="129"/>
      <c r="BY215" s="129"/>
      <c r="BZ215" s="129"/>
      <c r="CA215" s="130">
        <f>IF(BS215=1,BX223-1955000,IF(BS215=2,BX223-1855000,IF(BS215=3,BX223-1755000,0)))</f>
        <v>0</v>
      </c>
      <c r="CB215" s="130"/>
      <c r="CC215" s="130"/>
    </row>
    <row r="216" spans="47:81" x14ac:dyDescent="0.15">
      <c r="AU216" s="36">
        <f>IF($AZ$223&gt;=AV216,1,0)</f>
        <v>0</v>
      </c>
      <c r="AV216" s="129">
        <v>8500000</v>
      </c>
      <c r="AW216" s="129"/>
      <c r="AX216" s="129"/>
      <c r="AY216" s="93" t="s">
        <v>37</v>
      </c>
      <c r="AZ216" s="129"/>
      <c r="BA216" s="129"/>
      <c r="BB216" s="129"/>
      <c r="BC216" s="130">
        <f>IF(AU216=1,AZ223-1950000,0)</f>
        <v>0</v>
      </c>
      <c r="BD216" s="130"/>
      <c r="BE216" s="130"/>
      <c r="BG216" s="36"/>
      <c r="BH216" s="129"/>
      <c r="BI216" s="129"/>
      <c r="BJ216" s="129"/>
      <c r="BK216" s="71" t="s">
        <v>37</v>
      </c>
      <c r="BL216" s="129"/>
      <c r="BM216" s="129"/>
      <c r="BN216" s="129"/>
      <c r="BO216" s="130"/>
      <c r="BP216" s="130"/>
      <c r="BQ216" s="130"/>
      <c r="BR216" s="44"/>
      <c r="BS216" s="36"/>
      <c r="BT216" s="129"/>
      <c r="BU216" s="129"/>
      <c r="BV216" s="129"/>
      <c r="BW216" s="71" t="s">
        <v>37</v>
      </c>
      <c r="BX216" s="129"/>
      <c r="BY216" s="129"/>
      <c r="BZ216" s="129"/>
      <c r="CA216" s="130"/>
      <c r="CB216" s="130"/>
      <c r="CC216" s="130"/>
    </row>
    <row r="217" spans="47:81" x14ac:dyDescent="0.15">
      <c r="AU217" s="36"/>
      <c r="AV217" s="129"/>
      <c r="AW217" s="129"/>
      <c r="AX217" s="129"/>
      <c r="AY217" s="89" t="s">
        <v>37</v>
      </c>
      <c r="AZ217" s="129"/>
      <c r="BA217" s="129"/>
      <c r="BB217" s="129"/>
      <c r="BC217" s="130"/>
      <c r="BD217" s="130"/>
      <c r="BE217" s="130"/>
      <c r="BG217" s="36"/>
      <c r="BH217" s="129"/>
      <c r="BI217" s="129"/>
      <c r="BJ217" s="129"/>
      <c r="BK217" s="71" t="s">
        <v>37</v>
      </c>
      <c r="BL217" s="129"/>
      <c r="BM217" s="129"/>
      <c r="BN217" s="129"/>
      <c r="BO217" s="130"/>
      <c r="BP217" s="130"/>
      <c r="BQ217" s="130"/>
      <c r="BR217" s="44"/>
      <c r="BS217" s="36"/>
      <c r="BT217" s="129"/>
      <c r="BU217" s="129"/>
      <c r="BV217" s="129"/>
      <c r="BW217" s="71" t="s">
        <v>37</v>
      </c>
      <c r="BX217" s="129"/>
      <c r="BY217" s="129"/>
      <c r="BZ217" s="129"/>
      <c r="CA217" s="130"/>
      <c r="CB217" s="130"/>
      <c r="CC217" s="130"/>
    </row>
    <row r="218" spans="47:81" x14ac:dyDescent="0.15">
      <c r="AU218" s="36"/>
      <c r="AV218" s="129"/>
      <c r="AW218" s="129"/>
      <c r="AX218" s="129"/>
      <c r="AY218" s="89" t="s">
        <v>37</v>
      </c>
      <c r="AZ218" s="129"/>
      <c r="BA218" s="129"/>
      <c r="BB218" s="129"/>
      <c r="BC218" s="130"/>
      <c r="BD218" s="130"/>
      <c r="BE218" s="130"/>
      <c r="BG218" s="36"/>
      <c r="BH218" s="129"/>
      <c r="BI218" s="129"/>
      <c r="BJ218" s="129"/>
      <c r="BK218" s="71" t="s">
        <v>37</v>
      </c>
      <c r="BL218" s="129"/>
      <c r="BM218" s="129"/>
      <c r="BN218" s="129"/>
      <c r="BO218" s="130"/>
      <c r="BP218" s="130"/>
      <c r="BQ218" s="130"/>
      <c r="BR218" s="44"/>
      <c r="BS218" s="36"/>
      <c r="BT218" s="129"/>
      <c r="BU218" s="129"/>
      <c r="BV218" s="129"/>
      <c r="BW218" s="71" t="s">
        <v>37</v>
      </c>
      <c r="BX218" s="129"/>
      <c r="BY218" s="129"/>
      <c r="BZ218" s="129"/>
      <c r="CA218" s="130"/>
      <c r="CB218" s="130"/>
      <c r="CC218" s="130"/>
    </row>
    <row r="219" spans="47:81" x14ac:dyDescent="0.15">
      <c r="AU219" s="36"/>
      <c r="AV219" s="129"/>
      <c r="AW219" s="129"/>
      <c r="AX219" s="129"/>
      <c r="AY219" s="89" t="s">
        <v>37</v>
      </c>
      <c r="AZ219" s="129"/>
      <c r="BA219" s="129"/>
      <c r="BB219" s="129"/>
      <c r="BC219" s="130"/>
      <c r="BD219" s="130"/>
      <c r="BE219" s="130"/>
      <c r="BG219" s="36"/>
      <c r="BH219" s="129"/>
      <c r="BI219" s="129"/>
      <c r="BJ219" s="129"/>
      <c r="BK219" s="71" t="s">
        <v>37</v>
      </c>
      <c r="BL219" s="129"/>
      <c r="BM219" s="129"/>
      <c r="BN219" s="129"/>
      <c r="BO219" s="130"/>
      <c r="BP219" s="130"/>
      <c r="BQ219" s="130"/>
      <c r="BR219" s="44"/>
      <c r="BS219" s="36"/>
      <c r="BT219" s="129"/>
      <c r="BU219" s="129"/>
      <c r="BV219" s="129"/>
      <c r="BW219" s="71" t="s">
        <v>37</v>
      </c>
      <c r="BX219" s="129"/>
      <c r="BY219" s="129"/>
      <c r="BZ219" s="129"/>
      <c r="CA219" s="130"/>
      <c r="CB219" s="130"/>
      <c r="CC219" s="130"/>
    </row>
    <row r="220" spans="47:81" x14ac:dyDescent="0.15">
      <c r="AU220" s="36"/>
      <c r="AV220" s="129"/>
      <c r="AW220" s="129"/>
      <c r="AX220" s="129"/>
      <c r="AY220" s="89" t="s">
        <v>37</v>
      </c>
      <c r="AZ220" s="129"/>
      <c r="BA220" s="129"/>
      <c r="BB220" s="129"/>
      <c r="BC220" s="130"/>
      <c r="BD220" s="130"/>
      <c r="BE220" s="130"/>
      <c r="BG220" s="36"/>
      <c r="BH220" s="129"/>
      <c r="BI220" s="129"/>
      <c r="BJ220" s="129"/>
      <c r="BK220" s="71" t="s">
        <v>37</v>
      </c>
      <c r="BL220" s="129"/>
      <c r="BM220" s="129"/>
      <c r="BN220" s="129"/>
      <c r="BO220" s="130"/>
      <c r="BP220" s="130"/>
      <c r="BQ220" s="130"/>
      <c r="BR220" s="44"/>
      <c r="BS220" s="36"/>
      <c r="BT220" s="129"/>
      <c r="BU220" s="129"/>
      <c r="BV220" s="129"/>
      <c r="BW220" s="71" t="s">
        <v>37</v>
      </c>
      <c r="BX220" s="129"/>
      <c r="BY220" s="129"/>
      <c r="BZ220" s="129"/>
      <c r="CA220" s="130"/>
      <c r="CB220" s="130"/>
      <c r="CC220" s="130"/>
    </row>
    <row r="221" spans="47:81" x14ac:dyDescent="0.15">
      <c r="AU221" s="36"/>
      <c r="AV221" s="129"/>
      <c r="AW221" s="129"/>
      <c r="AX221" s="129"/>
      <c r="AY221" s="89" t="s">
        <v>37</v>
      </c>
      <c r="AZ221" s="129"/>
      <c r="BA221" s="129"/>
      <c r="BB221" s="129"/>
      <c r="BC221" s="130"/>
      <c r="BD221" s="130"/>
      <c r="BE221" s="130"/>
      <c r="BG221" s="36"/>
      <c r="BH221" s="129"/>
      <c r="BI221" s="129"/>
      <c r="BJ221" s="129"/>
      <c r="BK221" s="71" t="s">
        <v>37</v>
      </c>
      <c r="BL221" s="129"/>
      <c r="BM221" s="129"/>
      <c r="BN221" s="129"/>
      <c r="BO221" s="130"/>
      <c r="BP221" s="130"/>
      <c r="BQ221" s="130"/>
      <c r="BR221" s="44"/>
      <c r="BS221" s="36"/>
      <c r="BT221" s="129"/>
      <c r="BU221" s="129"/>
      <c r="BV221" s="129"/>
      <c r="BW221" s="71" t="s">
        <v>37</v>
      </c>
      <c r="BX221" s="129"/>
      <c r="BY221" s="129"/>
      <c r="BZ221" s="129"/>
      <c r="CA221" s="130"/>
      <c r="CB221" s="130"/>
      <c r="CC221" s="130"/>
    </row>
    <row r="222" spans="47:81" x14ac:dyDescent="0.15">
      <c r="AU222" s="70"/>
      <c r="AV222" s="41"/>
      <c r="AW222" s="41"/>
      <c r="AX222" s="41"/>
      <c r="AY222" s="70"/>
      <c r="AZ222" s="33"/>
      <c r="BA222" s="33"/>
      <c r="BB222" s="33"/>
      <c r="BC222" s="38"/>
      <c r="BD222" s="38"/>
      <c r="BE222" s="38"/>
      <c r="BG222" s="70"/>
      <c r="BH222" s="41"/>
      <c r="BI222" s="41"/>
      <c r="BJ222" s="41"/>
      <c r="BK222" s="70"/>
      <c r="BL222" s="33"/>
      <c r="BM222" s="33"/>
      <c r="BN222" s="33"/>
      <c r="BO222" s="38"/>
      <c r="BP222" s="38"/>
      <c r="BQ222" s="38"/>
      <c r="BR222" s="38"/>
      <c r="BS222" s="70"/>
      <c r="BT222" s="41"/>
      <c r="BU222" s="41"/>
      <c r="BV222" s="41"/>
      <c r="BW222" s="70"/>
      <c r="BX222" s="33"/>
      <c r="BY222" s="33"/>
      <c r="BZ222" s="33"/>
      <c r="CA222" s="38"/>
      <c r="CB222" s="38"/>
      <c r="CC222" s="38"/>
    </row>
    <row r="223" spans="47:81" x14ac:dyDescent="0.15">
      <c r="AU223" s="70"/>
      <c r="AV223" s="120" t="s">
        <v>31</v>
      </c>
      <c r="AW223" s="120"/>
      <c r="AX223" s="120"/>
      <c r="AY223" s="120"/>
      <c r="AZ223" s="121">
        <f>F29</f>
        <v>0</v>
      </c>
      <c r="BA223" s="122"/>
      <c r="BB223" s="123"/>
      <c r="BC223" s="39"/>
      <c r="BD223" s="40"/>
      <c r="BE223" s="40"/>
      <c r="BG223" s="70"/>
      <c r="BH223" s="120" t="s">
        <v>43</v>
      </c>
      <c r="BI223" s="120"/>
      <c r="BJ223" s="120"/>
      <c r="BK223" s="120"/>
      <c r="BL223" s="124">
        <f>J29</f>
        <v>0</v>
      </c>
      <c r="BM223" s="124"/>
      <c r="BN223" s="124"/>
      <c r="BO223" s="39"/>
      <c r="BP223" s="40"/>
      <c r="BQ223" s="40"/>
      <c r="BR223" s="40"/>
      <c r="BS223" s="70"/>
      <c r="BT223" s="120" t="s">
        <v>43</v>
      </c>
      <c r="BU223" s="120"/>
      <c r="BV223" s="120"/>
      <c r="BW223" s="120"/>
      <c r="BX223" s="124">
        <f>BL223</f>
        <v>0</v>
      </c>
      <c r="BY223" s="124"/>
      <c r="BZ223" s="124"/>
      <c r="CA223" s="39"/>
      <c r="CB223" s="40"/>
      <c r="CC223" s="40"/>
    </row>
    <row r="224" spans="47:81" x14ac:dyDescent="0.15">
      <c r="AV224" s="120" t="s">
        <v>42</v>
      </c>
      <c r="AW224" s="120"/>
      <c r="AX224" s="120"/>
      <c r="AY224" s="120"/>
      <c r="AZ224" s="127">
        <f>SUM(BC211:BE221)</f>
        <v>0</v>
      </c>
      <c r="BA224" s="125"/>
      <c r="BB224" s="125"/>
      <c r="BH224" s="120" t="s">
        <v>44</v>
      </c>
      <c r="BI224" s="120"/>
      <c r="BJ224" s="120"/>
      <c r="BK224" s="120"/>
      <c r="BL224" s="127">
        <f>SUM(BO211:BQ221)</f>
        <v>0</v>
      </c>
      <c r="BM224" s="125"/>
      <c r="BN224" s="125"/>
      <c r="BO224" s="57">
        <f>IF(D29&lt;65,1,0)</f>
        <v>1</v>
      </c>
      <c r="BT224" s="120" t="s">
        <v>44</v>
      </c>
      <c r="BU224" s="120"/>
      <c r="BV224" s="120"/>
      <c r="BW224" s="120"/>
      <c r="BX224" s="127">
        <f>SUM(CA211:CC221)</f>
        <v>0</v>
      </c>
      <c r="BY224" s="125"/>
      <c r="BZ224" s="125"/>
      <c r="CA224" s="57">
        <f>IF(D29&lt;65,0,1)</f>
        <v>0</v>
      </c>
    </row>
    <row r="225" spans="48:81" x14ac:dyDescent="0.15">
      <c r="BL225" s="42"/>
      <c r="BM225" s="42"/>
      <c r="BN225" s="42"/>
      <c r="BX225" s="42"/>
      <c r="BY225" s="42"/>
      <c r="BZ225" s="42"/>
    </row>
    <row r="226" spans="48:81" x14ac:dyDescent="0.15">
      <c r="BG226" s="125" t="s">
        <v>45</v>
      </c>
      <c r="BH226" s="125"/>
      <c r="BI226" s="125"/>
      <c r="BJ226" s="125"/>
      <c r="BK226" s="125"/>
      <c r="BL226" s="125"/>
      <c r="BM226" s="125"/>
      <c r="BN226" s="125"/>
      <c r="BO226" s="125"/>
      <c r="BP226" s="125"/>
      <c r="BQ226" s="125"/>
      <c r="BR226" s="61"/>
      <c r="BS226" s="125" t="s">
        <v>45</v>
      </c>
      <c r="BT226" s="125"/>
      <c r="BU226" s="125"/>
      <c r="BV226" s="125"/>
      <c r="BW226" s="125"/>
      <c r="BX226" s="125"/>
      <c r="BY226" s="125"/>
      <c r="BZ226" s="125"/>
      <c r="CA226" s="125"/>
      <c r="CB226" s="125"/>
      <c r="CC226" s="125"/>
    </row>
    <row r="227" spans="48:81" x14ac:dyDescent="0.15">
      <c r="BN227" s="128">
        <f>V29</f>
        <v>0</v>
      </c>
      <c r="BO227" s="128"/>
      <c r="BP227" s="128"/>
      <c r="BQ227" s="128"/>
      <c r="BR227" s="45"/>
      <c r="BZ227" s="128">
        <f>BN227</f>
        <v>0</v>
      </c>
      <c r="CA227" s="128"/>
      <c r="CB227" s="128"/>
      <c r="CC227" s="128"/>
    </row>
    <row r="228" spans="48:81" x14ac:dyDescent="0.15">
      <c r="AV228" t="s">
        <v>81</v>
      </c>
    </row>
    <row r="229" spans="48:81" x14ac:dyDescent="0.15">
      <c r="AV229" s="125" t="s">
        <v>42</v>
      </c>
      <c r="AW229" s="125"/>
      <c r="AX229" s="125"/>
      <c r="AY229" s="125"/>
      <c r="AZ229" s="127">
        <f>AZ224</f>
        <v>0</v>
      </c>
      <c r="BA229" s="125"/>
      <c r="BB229" s="125"/>
      <c r="BD229" t="s">
        <v>87</v>
      </c>
    </row>
    <row r="230" spans="48:81" x14ac:dyDescent="0.15">
      <c r="AV230" s="125" t="s">
        <v>48</v>
      </c>
      <c r="AW230" s="125"/>
      <c r="AX230" s="125"/>
      <c r="AY230" s="125"/>
      <c r="AZ230" s="126">
        <f>IF(BO224=1,BL224,IF(CA224=1,BX224,0))</f>
        <v>0</v>
      </c>
      <c r="BA230" s="126"/>
      <c r="BB230" s="126"/>
      <c r="BD230" t="s">
        <v>86</v>
      </c>
    </row>
    <row r="231" spans="48:81" x14ac:dyDescent="0.15">
      <c r="AV231" s="125" t="s">
        <v>49</v>
      </c>
      <c r="AW231" s="125"/>
      <c r="AX231" s="125"/>
      <c r="AY231" s="125"/>
      <c r="AZ231" s="127">
        <f>SUM(AZ229:BB230)+IF((AND(AZ229&gt;0,AZ230&gt;0,(AZ229+AZ230)&gt;100000)),-100000,0)</f>
        <v>0</v>
      </c>
      <c r="BA231" s="125"/>
      <c r="BB231" s="125"/>
      <c r="BD231" t="s">
        <v>70</v>
      </c>
      <c r="BR231" s="62"/>
    </row>
    <row r="233" spans="48:81" x14ac:dyDescent="0.15">
      <c r="AV233" s="125" t="s">
        <v>66</v>
      </c>
      <c r="AW233" s="125"/>
      <c r="AX233" s="125"/>
      <c r="AY233" s="125"/>
      <c r="AZ233" s="126">
        <f>MAX(IF(BO224=1,BL224,IF(CA224=1,BX224-150000,0)),0)</f>
        <v>0</v>
      </c>
      <c r="BA233" s="126"/>
      <c r="BB233" s="126"/>
    </row>
  </sheetData>
  <sheetProtection algorithmName="SHA-512" hashValue="FwtoBylSzIDDpaaPizgt7X9W0XZAzyhmTY5DkEb8XUC3KtwCHUDjLIoOvL918BGIp33BmffKSfVAvMZl+wTGTg==" saltValue="4G4zVE4j7Gt0NUqzfC9aIg==" spinCount="100000" sheet="1" objects="1" scenarios="1" selectLockedCells="1"/>
  <mergeCells count="1725">
    <mergeCell ref="T6:AF6"/>
    <mergeCell ref="T2:AF2"/>
    <mergeCell ref="T3:AF3"/>
    <mergeCell ref="T4:AF4"/>
    <mergeCell ref="T5:AF5"/>
    <mergeCell ref="E136:G136"/>
    <mergeCell ref="H136:J136"/>
    <mergeCell ref="K136:M136"/>
    <mergeCell ref="N136:P136"/>
    <mergeCell ref="Q136:S136"/>
    <mergeCell ref="T136:V136"/>
    <mergeCell ref="W136:Y136"/>
    <mergeCell ref="AA136:AC136"/>
    <mergeCell ref="B6:D6"/>
    <mergeCell ref="E6:H6"/>
    <mergeCell ref="I6:L6"/>
    <mergeCell ref="M6:P6"/>
    <mergeCell ref="Q6:S6"/>
    <mergeCell ref="E98:G98"/>
    <mergeCell ref="H98:J98"/>
    <mergeCell ref="K98:M98"/>
    <mergeCell ref="N98:P98"/>
    <mergeCell ref="Q98:S98"/>
    <mergeCell ref="T98:V98"/>
    <mergeCell ref="W98:Y98"/>
    <mergeCell ref="AA98:AC98"/>
    <mergeCell ref="E106:G106"/>
    <mergeCell ref="H106:J106"/>
    <mergeCell ref="K106:M106"/>
    <mergeCell ref="N106:P106"/>
    <mergeCell ref="Q106:S106"/>
    <mergeCell ref="T106:V106"/>
    <mergeCell ref="E114:G114"/>
    <mergeCell ref="H114:J114"/>
    <mergeCell ref="K114:M114"/>
    <mergeCell ref="E35:G35"/>
    <mergeCell ref="H35:J35"/>
    <mergeCell ref="K35:M35"/>
    <mergeCell ref="N35:P35"/>
    <mergeCell ref="Q35:S35"/>
    <mergeCell ref="T35:V35"/>
    <mergeCell ref="W35:Y35"/>
    <mergeCell ref="AA35:AC35"/>
    <mergeCell ref="AE35:AG35"/>
    <mergeCell ref="E74:G74"/>
    <mergeCell ref="H74:J74"/>
    <mergeCell ref="K74:M74"/>
    <mergeCell ref="N74:P74"/>
    <mergeCell ref="Q74:S74"/>
    <mergeCell ref="T74:V74"/>
    <mergeCell ref="W74:Y74"/>
    <mergeCell ref="AA74:AC74"/>
    <mergeCell ref="AE74:AG74"/>
    <mergeCell ref="Q39:S39"/>
    <mergeCell ref="T39:W39"/>
    <mergeCell ref="X39:Z39"/>
    <mergeCell ref="X43:Z43"/>
    <mergeCell ref="G44:H44"/>
    <mergeCell ref="I44:J44"/>
    <mergeCell ref="K44:L44"/>
    <mergeCell ref="M44:P44"/>
    <mergeCell ref="T44:W44"/>
    <mergeCell ref="X44:Z44"/>
    <mergeCell ref="E48:F48"/>
    <mergeCell ref="I48:J48"/>
    <mergeCell ref="K48:L48"/>
    <mergeCell ref="T48:W48"/>
    <mergeCell ref="BT5:BV5"/>
    <mergeCell ref="BX5:BZ5"/>
    <mergeCell ref="CA5:CC5"/>
    <mergeCell ref="CA3:CC4"/>
    <mergeCell ref="BS3:BS4"/>
    <mergeCell ref="BT3:BZ4"/>
    <mergeCell ref="BH2:BQ2"/>
    <mergeCell ref="BT2:CC2"/>
    <mergeCell ref="B3:D3"/>
    <mergeCell ref="E3:H3"/>
    <mergeCell ref="I3:L3"/>
    <mergeCell ref="M3:P3"/>
    <mergeCell ref="Q3:S3"/>
    <mergeCell ref="AU3:AU4"/>
    <mergeCell ref="AV3:BB4"/>
    <mergeCell ref="BC3:BE4"/>
    <mergeCell ref="CA7:CC7"/>
    <mergeCell ref="AV8:AX8"/>
    <mergeCell ref="AZ8:BB8"/>
    <mergeCell ref="BC8:BE8"/>
    <mergeCell ref="BH8:BJ8"/>
    <mergeCell ref="BL8:BN8"/>
    <mergeCell ref="BO8:BQ8"/>
    <mergeCell ref="BT8:BV8"/>
    <mergeCell ref="BX8:BZ8"/>
    <mergeCell ref="CA8:CC8"/>
    <mergeCell ref="BX6:BZ6"/>
    <mergeCell ref="A1:AK1"/>
    <mergeCell ref="E2:H2"/>
    <mergeCell ref="I2:L2"/>
    <mergeCell ref="M2:P2"/>
    <mergeCell ref="Q2:S2"/>
    <mergeCell ref="AU2:BE2"/>
    <mergeCell ref="AV5:AX5"/>
    <mergeCell ref="AZ5:BB5"/>
    <mergeCell ref="BC5:BE5"/>
    <mergeCell ref="BH5:BJ5"/>
    <mergeCell ref="BL5:BN5"/>
    <mergeCell ref="BO5:BQ5"/>
    <mergeCell ref="B4:D4"/>
    <mergeCell ref="E4:H4"/>
    <mergeCell ref="I4:L4"/>
    <mergeCell ref="M4:P4"/>
    <mergeCell ref="Q4:S4"/>
    <mergeCell ref="B5:D5"/>
    <mergeCell ref="E5:H5"/>
    <mergeCell ref="I5:L5"/>
    <mergeCell ref="M5:P5"/>
    <mergeCell ref="Q5:S5"/>
    <mergeCell ref="BG3:BG4"/>
    <mergeCell ref="BH3:BN4"/>
    <mergeCell ref="BO3:BQ4"/>
    <mergeCell ref="CA6:CC6"/>
    <mergeCell ref="AV7:AX7"/>
    <mergeCell ref="AZ7:BB7"/>
    <mergeCell ref="BC7:BE7"/>
    <mergeCell ref="BH7:BJ7"/>
    <mergeCell ref="BL7:BN7"/>
    <mergeCell ref="BO7:BQ7"/>
    <mergeCell ref="BT7:BV7"/>
    <mergeCell ref="BX7:BZ7"/>
    <mergeCell ref="AV6:AX6"/>
    <mergeCell ref="AZ6:BB6"/>
    <mergeCell ref="BC6:BE6"/>
    <mergeCell ref="BH6:BJ6"/>
    <mergeCell ref="BL6:BN6"/>
    <mergeCell ref="BO6:BQ6"/>
    <mergeCell ref="BT6:BV6"/>
    <mergeCell ref="BX10:BZ10"/>
    <mergeCell ref="CA10:CC10"/>
    <mergeCell ref="BT11:BV11"/>
    <mergeCell ref="BX11:BZ11"/>
    <mergeCell ref="BT9:BV9"/>
    <mergeCell ref="BX9:BZ9"/>
    <mergeCell ref="CA9:CC9"/>
    <mergeCell ref="AV10:AX10"/>
    <mergeCell ref="AZ10:BB10"/>
    <mergeCell ref="BC10:BE10"/>
    <mergeCell ref="BH10:BJ10"/>
    <mergeCell ref="BL10:BN10"/>
    <mergeCell ref="BO10:BQ10"/>
    <mergeCell ref="BT10:BV10"/>
    <mergeCell ref="AV9:AX9"/>
    <mergeCell ref="AZ9:BB9"/>
    <mergeCell ref="BC9:BE9"/>
    <mergeCell ref="BH9:BJ9"/>
    <mergeCell ref="BL9:BN9"/>
    <mergeCell ref="BO9:BQ9"/>
    <mergeCell ref="BT13:BV13"/>
    <mergeCell ref="BX13:BZ13"/>
    <mergeCell ref="CA13:CC13"/>
    <mergeCell ref="AV14:AX14"/>
    <mergeCell ref="AZ14:BB14"/>
    <mergeCell ref="BC14:BE14"/>
    <mergeCell ref="BH14:BJ14"/>
    <mergeCell ref="BL14:BN14"/>
    <mergeCell ref="BO14:BQ14"/>
    <mergeCell ref="BT14:BV14"/>
    <mergeCell ref="AV13:AX13"/>
    <mergeCell ref="AZ13:BB13"/>
    <mergeCell ref="BC13:BE13"/>
    <mergeCell ref="BH13:BJ13"/>
    <mergeCell ref="BL13:BN13"/>
    <mergeCell ref="BO13:BQ13"/>
    <mergeCell ref="CA11:CC11"/>
    <mergeCell ref="AV12:AX12"/>
    <mergeCell ref="AZ12:BB12"/>
    <mergeCell ref="BC12:BE12"/>
    <mergeCell ref="BH12:BJ12"/>
    <mergeCell ref="BL12:BN12"/>
    <mergeCell ref="BO12:BQ12"/>
    <mergeCell ref="BT12:BV12"/>
    <mergeCell ref="BX12:BZ12"/>
    <mergeCell ref="CA12:CC12"/>
    <mergeCell ref="AV11:AX11"/>
    <mergeCell ref="AZ11:BB11"/>
    <mergeCell ref="BC11:BE11"/>
    <mergeCell ref="BH11:BJ11"/>
    <mergeCell ref="BL11:BN11"/>
    <mergeCell ref="BO11:BQ11"/>
    <mergeCell ref="CA15:CC15"/>
    <mergeCell ref="AV17:AY17"/>
    <mergeCell ref="AZ17:BB17"/>
    <mergeCell ref="BH17:BK17"/>
    <mergeCell ref="BL17:BN17"/>
    <mergeCell ref="BT17:BW17"/>
    <mergeCell ref="BX17:BZ17"/>
    <mergeCell ref="BX14:BZ14"/>
    <mergeCell ref="CA14:CC14"/>
    <mergeCell ref="AV15:AX15"/>
    <mergeCell ref="AZ15:BB15"/>
    <mergeCell ref="BC15:BE15"/>
    <mergeCell ref="BH15:BJ15"/>
    <mergeCell ref="BL15:BN15"/>
    <mergeCell ref="BO15:BQ15"/>
    <mergeCell ref="BT15:BV15"/>
    <mergeCell ref="BX15:BZ15"/>
    <mergeCell ref="BG20:BQ20"/>
    <mergeCell ref="BS20:CC20"/>
    <mergeCell ref="B23:C23"/>
    <mergeCell ref="F23:I23"/>
    <mergeCell ref="J23:M23"/>
    <mergeCell ref="N23:Q23"/>
    <mergeCell ref="R23:U23"/>
    <mergeCell ref="V23:Y23"/>
    <mergeCell ref="BN21:BQ21"/>
    <mergeCell ref="BX18:BZ18"/>
    <mergeCell ref="F21:I21"/>
    <mergeCell ref="J21:M21"/>
    <mergeCell ref="N21:Q21"/>
    <mergeCell ref="R21:U21"/>
    <mergeCell ref="B22:C22"/>
    <mergeCell ref="F22:I22"/>
    <mergeCell ref="J22:M22"/>
    <mergeCell ref="N22:Q22"/>
    <mergeCell ref="R22:U22"/>
    <mergeCell ref="V20:Y21"/>
    <mergeCell ref="AV18:AY18"/>
    <mergeCell ref="AZ18:BB18"/>
    <mergeCell ref="BH18:BK18"/>
    <mergeCell ref="BL18:BN18"/>
    <mergeCell ref="BT18:BW18"/>
    <mergeCell ref="B20:C21"/>
    <mergeCell ref="D20:E20"/>
    <mergeCell ref="F20:I20"/>
    <mergeCell ref="J20:M20"/>
    <mergeCell ref="N20:Q20"/>
    <mergeCell ref="R20:U20"/>
    <mergeCell ref="AV23:AY23"/>
    <mergeCell ref="AZ23:BB23"/>
    <mergeCell ref="B26:C26"/>
    <mergeCell ref="F26:I26"/>
    <mergeCell ref="J26:M26"/>
    <mergeCell ref="N26:Q26"/>
    <mergeCell ref="R26:U26"/>
    <mergeCell ref="V26:Y26"/>
    <mergeCell ref="AV24:AY24"/>
    <mergeCell ref="AZ24:BB24"/>
    <mergeCell ref="B25:C25"/>
    <mergeCell ref="F25:I25"/>
    <mergeCell ref="J25:M25"/>
    <mergeCell ref="N25:Q25"/>
    <mergeCell ref="R25:U25"/>
    <mergeCell ref="V25:Y25"/>
    <mergeCell ref="BZ21:CC21"/>
    <mergeCell ref="B24:C24"/>
    <mergeCell ref="F24:I24"/>
    <mergeCell ref="J24:M24"/>
    <mergeCell ref="N24:Q24"/>
    <mergeCell ref="R24:U24"/>
    <mergeCell ref="V24:Y24"/>
    <mergeCell ref="V22:Y22"/>
    <mergeCell ref="B29:C29"/>
    <mergeCell ref="F29:I29"/>
    <mergeCell ref="J29:M29"/>
    <mergeCell ref="N29:Q29"/>
    <mergeCell ref="R29:U29"/>
    <mergeCell ref="V29:Y29"/>
    <mergeCell ref="AV25:AY25"/>
    <mergeCell ref="AZ25:BB25"/>
    <mergeCell ref="B28:C28"/>
    <mergeCell ref="F28:I28"/>
    <mergeCell ref="J28:M28"/>
    <mergeCell ref="N28:Q28"/>
    <mergeCell ref="R28:U28"/>
    <mergeCell ref="V28:Y28"/>
    <mergeCell ref="B27:C27"/>
    <mergeCell ref="F27:I27"/>
    <mergeCell ref="J27:M27"/>
    <mergeCell ref="N27:Q27"/>
    <mergeCell ref="R27:U27"/>
    <mergeCell ref="V27:Y27"/>
    <mergeCell ref="AE31:AG31"/>
    <mergeCell ref="E32:G32"/>
    <mergeCell ref="H32:J32"/>
    <mergeCell ref="K32:M32"/>
    <mergeCell ref="N32:P32"/>
    <mergeCell ref="Q32:S32"/>
    <mergeCell ref="T32:V32"/>
    <mergeCell ref="W32:Y32"/>
    <mergeCell ref="AA32:AC32"/>
    <mergeCell ref="AE32:AG32"/>
    <mergeCell ref="AV27:AY27"/>
    <mergeCell ref="AZ27:BB27"/>
    <mergeCell ref="E31:G31"/>
    <mergeCell ref="H31:J31"/>
    <mergeCell ref="K31:M31"/>
    <mergeCell ref="N31:P31"/>
    <mergeCell ref="Q31:S31"/>
    <mergeCell ref="T31:V31"/>
    <mergeCell ref="W31:Y31"/>
    <mergeCell ref="AA31:AC31"/>
    <mergeCell ref="AU37:BE37"/>
    <mergeCell ref="BH37:BQ37"/>
    <mergeCell ref="BT37:CC37"/>
    <mergeCell ref="AA34:AC34"/>
    <mergeCell ref="AE34:AG34"/>
    <mergeCell ref="AA36:AC36"/>
    <mergeCell ref="AE36:AG36"/>
    <mergeCell ref="B39:B40"/>
    <mergeCell ref="E39:F39"/>
    <mergeCell ref="G39:H39"/>
    <mergeCell ref="I39:J39"/>
    <mergeCell ref="K39:L39"/>
    <mergeCell ref="M39:P39"/>
    <mergeCell ref="W33:Y33"/>
    <mergeCell ref="AA33:AC33"/>
    <mergeCell ref="AE33:AG33"/>
    <mergeCell ref="E34:G34"/>
    <mergeCell ref="H34:J34"/>
    <mergeCell ref="K34:M34"/>
    <mergeCell ref="N34:P34"/>
    <mergeCell ref="Q34:S34"/>
    <mergeCell ref="T34:V34"/>
    <mergeCell ref="W34:Y34"/>
    <mergeCell ref="E33:G33"/>
    <mergeCell ref="H33:J33"/>
    <mergeCell ref="K33:M33"/>
    <mergeCell ref="N33:P33"/>
    <mergeCell ref="Q33:S33"/>
    <mergeCell ref="T33:V33"/>
    <mergeCell ref="BH38:BN39"/>
    <mergeCell ref="BO38:BQ39"/>
    <mergeCell ref="BS38:BS39"/>
    <mergeCell ref="BT38:BZ39"/>
    <mergeCell ref="CA38:CC39"/>
    <mergeCell ref="B41:B42"/>
    <mergeCell ref="E41:F41"/>
    <mergeCell ref="G41:H41"/>
    <mergeCell ref="I41:J41"/>
    <mergeCell ref="K41:L41"/>
    <mergeCell ref="T40:W40"/>
    <mergeCell ref="X40:Z40"/>
    <mergeCell ref="AU38:AU39"/>
    <mergeCell ref="AV38:BB39"/>
    <mergeCell ref="BC38:BE39"/>
    <mergeCell ref="BG38:BG39"/>
    <mergeCell ref="T41:W41"/>
    <mergeCell ref="X41:Z41"/>
    <mergeCell ref="E40:F40"/>
    <mergeCell ref="G40:H40"/>
    <mergeCell ref="I40:J40"/>
    <mergeCell ref="K40:L40"/>
    <mergeCell ref="M40:P40"/>
    <mergeCell ref="Q40:S47"/>
    <mergeCell ref="M41:P41"/>
    <mergeCell ref="E42:F42"/>
    <mergeCell ref="G42:H42"/>
    <mergeCell ref="I42:J42"/>
    <mergeCell ref="CA40:CC40"/>
    <mergeCell ref="E43:F43"/>
    <mergeCell ref="G43:H43"/>
    <mergeCell ref="I43:J43"/>
    <mergeCell ref="K43:L43"/>
    <mergeCell ref="M43:P43"/>
    <mergeCell ref="T43:W43"/>
    <mergeCell ref="AV41:AX41"/>
    <mergeCell ref="AZ41:BB41"/>
    <mergeCell ref="BC40:BE40"/>
    <mergeCell ref="BH40:BJ40"/>
    <mergeCell ref="BL40:BN40"/>
    <mergeCell ref="BO40:BQ40"/>
    <mergeCell ref="BT40:BV40"/>
    <mergeCell ref="BX40:BZ40"/>
    <mergeCell ref="K42:L42"/>
    <mergeCell ref="M42:P42"/>
    <mergeCell ref="T42:W42"/>
    <mergeCell ref="X42:Z42"/>
    <mergeCell ref="AV40:AX40"/>
    <mergeCell ref="AZ40:BB40"/>
    <mergeCell ref="CA42:CC42"/>
    <mergeCell ref="E45:F45"/>
    <mergeCell ref="G45:H45"/>
    <mergeCell ref="I45:J45"/>
    <mergeCell ref="K45:L45"/>
    <mergeCell ref="M45:P45"/>
    <mergeCell ref="T45:W45"/>
    <mergeCell ref="X45:Z45"/>
    <mergeCell ref="AV43:AX43"/>
    <mergeCell ref="AZ43:BB43"/>
    <mergeCell ref="BC42:BE42"/>
    <mergeCell ref="BH42:BJ42"/>
    <mergeCell ref="BL42:BN42"/>
    <mergeCell ref="BO42:BQ42"/>
    <mergeCell ref="BT42:BV42"/>
    <mergeCell ref="BX42:BZ42"/>
    <mergeCell ref="CA41:CC41"/>
    <mergeCell ref="E44:F44"/>
    <mergeCell ref="AV42:AX42"/>
    <mergeCell ref="AZ42:BB42"/>
    <mergeCell ref="BC41:BE41"/>
    <mergeCell ref="BH41:BJ41"/>
    <mergeCell ref="BL41:BN41"/>
    <mergeCell ref="BO41:BQ41"/>
    <mergeCell ref="BT41:BV41"/>
    <mergeCell ref="BX41:BZ41"/>
    <mergeCell ref="CA44:CC44"/>
    <mergeCell ref="E47:F47"/>
    <mergeCell ref="G47:H47"/>
    <mergeCell ref="I47:J47"/>
    <mergeCell ref="K47:L47"/>
    <mergeCell ref="M47:P47"/>
    <mergeCell ref="T47:W47"/>
    <mergeCell ref="X47:Z47"/>
    <mergeCell ref="AV45:AX45"/>
    <mergeCell ref="AZ45:BB45"/>
    <mergeCell ref="BC44:BE44"/>
    <mergeCell ref="BH44:BJ44"/>
    <mergeCell ref="BL44:BN44"/>
    <mergeCell ref="BO44:BQ44"/>
    <mergeCell ref="BT44:BV44"/>
    <mergeCell ref="BX44:BZ44"/>
    <mergeCell ref="CA43:CC43"/>
    <mergeCell ref="E46:F46"/>
    <mergeCell ref="G46:H46"/>
    <mergeCell ref="I46:J46"/>
    <mergeCell ref="K46:L46"/>
    <mergeCell ref="M46:P46"/>
    <mergeCell ref="T46:W46"/>
    <mergeCell ref="X46:Z46"/>
    <mergeCell ref="AV44:AX44"/>
    <mergeCell ref="AZ44:BB44"/>
    <mergeCell ref="BC43:BE43"/>
    <mergeCell ref="BH43:BJ43"/>
    <mergeCell ref="BL43:BN43"/>
    <mergeCell ref="BO43:BQ43"/>
    <mergeCell ref="BT43:BV43"/>
    <mergeCell ref="BX43:BZ43"/>
    <mergeCell ref="BL46:BN46"/>
    <mergeCell ref="BO46:BQ46"/>
    <mergeCell ref="BT46:BV46"/>
    <mergeCell ref="BX46:BZ46"/>
    <mergeCell ref="CA46:CC46"/>
    <mergeCell ref="AV47:AX47"/>
    <mergeCell ref="AZ47:BB47"/>
    <mergeCell ref="BC47:BE47"/>
    <mergeCell ref="BH47:BJ47"/>
    <mergeCell ref="BL47:BN47"/>
    <mergeCell ref="CA45:CC45"/>
    <mergeCell ref="X48:Z48"/>
    <mergeCell ref="AV46:AX46"/>
    <mergeCell ref="AZ46:BB46"/>
    <mergeCell ref="BC46:BE46"/>
    <mergeCell ref="BH46:BJ46"/>
    <mergeCell ref="BC45:BE45"/>
    <mergeCell ref="BH45:BJ45"/>
    <mergeCell ref="BL45:BN45"/>
    <mergeCell ref="BO45:BQ45"/>
    <mergeCell ref="BT45:BV45"/>
    <mergeCell ref="BX45:BZ45"/>
    <mergeCell ref="BT48:BV48"/>
    <mergeCell ref="BX48:BZ48"/>
    <mergeCell ref="CA48:CC48"/>
    <mergeCell ref="AF51:AJ51"/>
    <mergeCell ref="AV49:AX49"/>
    <mergeCell ref="AZ49:BB49"/>
    <mergeCell ref="BC49:BE49"/>
    <mergeCell ref="BH49:BJ49"/>
    <mergeCell ref="BL49:BN49"/>
    <mergeCell ref="BO49:BQ49"/>
    <mergeCell ref="BO47:BQ47"/>
    <mergeCell ref="BT47:BV47"/>
    <mergeCell ref="BX47:BZ47"/>
    <mergeCell ref="CA47:CC47"/>
    <mergeCell ref="AV48:AX48"/>
    <mergeCell ref="AZ48:BB48"/>
    <mergeCell ref="BC48:BE48"/>
    <mergeCell ref="BH48:BJ48"/>
    <mergeCell ref="BL48:BN48"/>
    <mergeCell ref="BO48:BQ48"/>
    <mergeCell ref="CA50:CC50"/>
    <mergeCell ref="D53:D54"/>
    <mergeCell ref="E53:H54"/>
    <mergeCell ref="J53:P53"/>
    <mergeCell ref="AG53:AJ53"/>
    <mergeCell ref="N54:P54"/>
    <mergeCell ref="AG54:AJ54"/>
    <mergeCell ref="AV52:AY52"/>
    <mergeCell ref="BT49:BV49"/>
    <mergeCell ref="BX49:BZ49"/>
    <mergeCell ref="CA49:CC49"/>
    <mergeCell ref="AG52:AJ52"/>
    <mergeCell ref="AV50:AX50"/>
    <mergeCell ref="AZ50:BB50"/>
    <mergeCell ref="BC50:BE50"/>
    <mergeCell ref="BH50:BJ50"/>
    <mergeCell ref="BL50:BN50"/>
    <mergeCell ref="BO50:BQ50"/>
    <mergeCell ref="BL53:BN53"/>
    <mergeCell ref="BT53:BW53"/>
    <mergeCell ref="BX53:BZ53"/>
    <mergeCell ref="E56:H56"/>
    <mergeCell ref="J56:L56"/>
    <mergeCell ref="R56:T56"/>
    <mergeCell ref="AZ52:BB52"/>
    <mergeCell ref="BH52:BK52"/>
    <mergeCell ref="BL52:BN52"/>
    <mergeCell ref="BT52:BW52"/>
    <mergeCell ref="BX52:BZ52"/>
    <mergeCell ref="E55:H55"/>
    <mergeCell ref="R55:T55"/>
    <mergeCell ref="AV53:AY53"/>
    <mergeCell ref="AZ53:BB53"/>
    <mergeCell ref="BH53:BK53"/>
    <mergeCell ref="BT50:BV50"/>
    <mergeCell ref="BX50:BZ50"/>
    <mergeCell ref="AV58:AY58"/>
    <mergeCell ref="AZ58:BB58"/>
    <mergeCell ref="D61:D62"/>
    <mergeCell ref="E61:H62"/>
    <mergeCell ref="J61:P61"/>
    <mergeCell ref="AV59:AY59"/>
    <mergeCell ref="AZ59:BB59"/>
    <mergeCell ref="J62:N62"/>
    <mergeCell ref="X62:Z62"/>
    <mergeCell ref="AV60:AY60"/>
    <mergeCell ref="E57:H57"/>
    <mergeCell ref="J57:L57"/>
    <mergeCell ref="R57:T57"/>
    <mergeCell ref="BG55:BQ55"/>
    <mergeCell ref="BS55:CC55"/>
    <mergeCell ref="BN56:BQ56"/>
    <mergeCell ref="BZ56:CC56"/>
    <mergeCell ref="BT65:CC65"/>
    <mergeCell ref="AU66:AU68"/>
    <mergeCell ref="AV66:BB68"/>
    <mergeCell ref="BC66:BE68"/>
    <mergeCell ref="BG66:BG68"/>
    <mergeCell ref="BH66:BN68"/>
    <mergeCell ref="BO66:BQ68"/>
    <mergeCell ref="BS66:BS68"/>
    <mergeCell ref="BT66:BZ68"/>
    <mergeCell ref="CA66:CC68"/>
    <mergeCell ref="E65:H65"/>
    <mergeCell ref="P65:R65"/>
    <mergeCell ref="T65:V65"/>
    <mergeCell ref="AB65:AD65"/>
    <mergeCell ref="AU65:BE65"/>
    <mergeCell ref="BH65:BQ65"/>
    <mergeCell ref="AZ60:BB60"/>
    <mergeCell ref="E63:H63"/>
    <mergeCell ref="P63:R63"/>
    <mergeCell ref="AB63:AD63"/>
    <mergeCell ref="E64:H64"/>
    <mergeCell ref="P64:R64"/>
    <mergeCell ref="T64:V64"/>
    <mergeCell ref="AB64:AD64"/>
    <mergeCell ref="AV62:AY62"/>
    <mergeCell ref="AZ62:BB62"/>
    <mergeCell ref="BL69:BN69"/>
    <mergeCell ref="BO69:BQ69"/>
    <mergeCell ref="BT69:BV69"/>
    <mergeCell ref="BX69:BZ69"/>
    <mergeCell ref="CA69:CC69"/>
    <mergeCell ref="E72:G72"/>
    <mergeCell ref="H72:J72"/>
    <mergeCell ref="K72:M72"/>
    <mergeCell ref="N72:P72"/>
    <mergeCell ref="Q72:S72"/>
    <mergeCell ref="AA71:AC71"/>
    <mergeCell ref="AE71:AG71"/>
    <mergeCell ref="AV69:AX69"/>
    <mergeCell ref="AZ69:BB69"/>
    <mergeCell ref="BC69:BE69"/>
    <mergeCell ref="BH69:BJ69"/>
    <mergeCell ref="W70:Y70"/>
    <mergeCell ref="AA70:AC70"/>
    <mergeCell ref="AE70:AG70"/>
    <mergeCell ref="E71:G71"/>
    <mergeCell ref="H71:J71"/>
    <mergeCell ref="K71:M71"/>
    <mergeCell ref="N71:P71"/>
    <mergeCell ref="Q71:S71"/>
    <mergeCell ref="T71:V71"/>
    <mergeCell ref="W71:Y71"/>
    <mergeCell ref="E70:G70"/>
    <mergeCell ref="H70:J70"/>
    <mergeCell ref="K70:M70"/>
    <mergeCell ref="N70:P70"/>
    <mergeCell ref="Q70:S70"/>
    <mergeCell ref="T70:V70"/>
    <mergeCell ref="E73:G73"/>
    <mergeCell ref="H73:J73"/>
    <mergeCell ref="K73:M73"/>
    <mergeCell ref="N73:P73"/>
    <mergeCell ref="Q73:S73"/>
    <mergeCell ref="T73:V73"/>
    <mergeCell ref="W73:Y73"/>
    <mergeCell ref="AA73:AC73"/>
    <mergeCell ref="BC70:BE70"/>
    <mergeCell ref="BH70:BJ70"/>
    <mergeCell ref="BL70:BN70"/>
    <mergeCell ref="BO70:BQ70"/>
    <mergeCell ref="BT70:BV70"/>
    <mergeCell ref="BX70:BZ70"/>
    <mergeCell ref="T72:V72"/>
    <mergeCell ref="W72:Y72"/>
    <mergeCell ref="AA72:AC72"/>
    <mergeCell ref="AE72:AG72"/>
    <mergeCell ref="AV70:AX70"/>
    <mergeCell ref="AZ70:BB70"/>
    <mergeCell ref="BT71:BV71"/>
    <mergeCell ref="BX71:BZ71"/>
    <mergeCell ref="CA71:CC71"/>
    <mergeCell ref="AV72:AX72"/>
    <mergeCell ref="AZ72:BB72"/>
    <mergeCell ref="BC72:BE72"/>
    <mergeCell ref="BH72:BJ72"/>
    <mergeCell ref="BL72:BN72"/>
    <mergeCell ref="BO72:BQ72"/>
    <mergeCell ref="BT72:BV72"/>
    <mergeCell ref="AV71:AX71"/>
    <mergeCell ref="AZ71:BB71"/>
    <mergeCell ref="BC71:BE71"/>
    <mergeCell ref="BH71:BJ71"/>
    <mergeCell ref="BL71:BN71"/>
    <mergeCell ref="BO71:BQ71"/>
    <mergeCell ref="CA70:CC70"/>
    <mergeCell ref="E78:G78"/>
    <mergeCell ref="H78:J78"/>
    <mergeCell ref="K78:M78"/>
    <mergeCell ref="N78:P78"/>
    <mergeCell ref="Q78:S78"/>
    <mergeCell ref="T78:V78"/>
    <mergeCell ref="W78:Y78"/>
    <mergeCell ref="AA78:AC78"/>
    <mergeCell ref="AE78:AG78"/>
    <mergeCell ref="BX72:BZ72"/>
    <mergeCell ref="CA72:CC72"/>
    <mergeCell ref="AV73:AX73"/>
    <mergeCell ref="AZ73:BB73"/>
    <mergeCell ref="BC73:BE73"/>
    <mergeCell ref="BH73:BJ73"/>
    <mergeCell ref="BL73:BN73"/>
    <mergeCell ref="BO73:BQ73"/>
    <mergeCell ref="BT73:BV73"/>
    <mergeCell ref="BX73:BZ73"/>
    <mergeCell ref="BL75:BN75"/>
    <mergeCell ref="BO75:BQ75"/>
    <mergeCell ref="BT75:BV75"/>
    <mergeCell ref="BX75:BZ75"/>
    <mergeCell ref="CA75:CC75"/>
    <mergeCell ref="BL77:BN77"/>
    <mergeCell ref="BO77:BQ77"/>
    <mergeCell ref="CA76:CC76"/>
    <mergeCell ref="BT76:BV76"/>
    <mergeCell ref="AE73:AG73"/>
    <mergeCell ref="CA73:CC73"/>
    <mergeCell ref="E80:G80"/>
    <mergeCell ref="H80:J80"/>
    <mergeCell ref="K80:M80"/>
    <mergeCell ref="N80:P80"/>
    <mergeCell ref="Q80:S80"/>
    <mergeCell ref="AA79:AC79"/>
    <mergeCell ref="AE79:AG79"/>
    <mergeCell ref="AV75:AX75"/>
    <mergeCell ref="AZ75:BB75"/>
    <mergeCell ref="BC75:BE75"/>
    <mergeCell ref="BH75:BJ75"/>
    <mergeCell ref="BT74:BV74"/>
    <mergeCell ref="BX74:BZ74"/>
    <mergeCell ref="CA74:CC74"/>
    <mergeCell ref="E79:G79"/>
    <mergeCell ref="H79:J79"/>
    <mergeCell ref="K79:M79"/>
    <mergeCell ref="N79:P79"/>
    <mergeCell ref="Q79:S79"/>
    <mergeCell ref="T79:V79"/>
    <mergeCell ref="W79:Y79"/>
    <mergeCell ref="AV74:AX74"/>
    <mergeCell ref="AZ74:BB74"/>
    <mergeCell ref="BC74:BE74"/>
    <mergeCell ref="BX76:BZ76"/>
    <mergeCell ref="BT77:BV77"/>
    <mergeCell ref="BX77:BZ77"/>
    <mergeCell ref="CA77:CC77"/>
    <mergeCell ref="BT78:BV78"/>
    <mergeCell ref="AZ77:BB77"/>
    <mergeCell ref="BC77:BE77"/>
    <mergeCell ref="BH77:BJ77"/>
    <mergeCell ref="W82:Y82"/>
    <mergeCell ref="AA82:AC82"/>
    <mergeCell ref="AE82:AG82"/>
    <mergeCell ref="BH74:BJ74"/>
    <mergeCell ref="BL74:BN74"/>
    <mergeCell ref="BO74:BQ74"/>
    <mergeCell ref="E81:G81"/>
    <mergeCell ref="H81:J81"/>
    <mergeCell ref="K81:M81"/>
    <mergeCell ref="N81:P81"/>
    <mergeCell ref="Q81:S81"/>
    <mergeCell ref="T81:V81"/>
    <mergeCell ref="W81:Y81"/>
    <mergeCell ref="AA81:AC81"/>
    <mergeCell ref="AE81:AG81"/>
    <mergeCell ref="BC76:BE76"/>
    <mergeCell ref="BH76:BJ76"/>
    <mergeCell ref="BL76:BN76"/>
    <mergeCell ref="BO76:BQ76"/>
    <mergeCell ref="T80:V80"/>
    <mergeCell ref="W80:Y80"/>
    <mergeCell ref="AA80:AC80"/>
    <mergeCell ref="AE80:AG80"/>
    <mergeCell ref="AV76:AX76"/>
    <mergeCell ref="AZ76:BB76"/>
    <mergeCell ref="AV78:AX78"/>
    <mergeCell ref="AZ78:BB78"/>
    <mergeCell ref="BC78:BE78"/>
    <mergeCell ref="BH78:BJ78"/>
    <mergeCell ref="BL78:BN78"/>
    <mergeCell ref="BO78:BQ78"/>
    <mergeCell ref="AV77:AX77"/>
    <mergeCell ref="AV82:AY82"/>
    <mergeCell ref="AZ82:BB82"/>
    <mergeCell ref="BH82:BK82"/>
    <mergeCell ref="BL82:BN82"/>
    <mergeCell ref="BT82:BW82"/>
    <mergeCell ref="BX82:BZ82"/>
    <mergeCell ref="CA79:CC79"/>
    <mergeCell ref="E86:G86"/>
    <mergeCell ref="H86:J86"/>
    <mergeCell ref="K86:M86"/>
    <mergeCell ref="N86:P86"/>
    <mergeCell ref="Q86:S86"/>
    <mergeCell ref="T86:V86"/>
    <mergeCell ref="W86:Y86"/>
    <mergeCell ref="AA86:AC86"/>
    <mergeCell ref="AE86:AG86"/>
    <mergeCell ref="BX78:BZ78"/>
    <mergeCell ref="CA78:CC78"/>
    <mergeCell ref="AV79:AX79"/>
    <mergeCell ref="AZ79:BB79"/>
    <mergeCell ref="BC79:BE79"/>
    <mergeCell ref="BH79:BJ79"/>
    <mergeCell ref="BL79:BN79"/>
    <mergeCell ref="BO79:BQ79"/>
    <mergeCell ref="BT79:BV79"/>
    <mergeCell ref="BX79:BZ79"/>
    <mergeCell ref="E82:G82"/>
    <mergeCell ref="H82:J82"/>
    <mergeCell ref="K82:M82"/>
    <mergeCell ref="N82:P82"/>
    <mergeCell ref="Q82:S82"/>
    <mergeCell ref="T82:V82"/>
    <mergeCell ref="BL83:BN83"/>
    <mergeCell ref="BT83:BW83"/>
    <mergeCell ref="BX83:BZ83"/>
    <mergeCell ref="E88:G88"/>
    <mergeCell ref="H88:J88"/>
    <mergeCell ref="K88:M88"/>
    <mergeCell ref="N88:P88"/>
    <mergeCell ref="Q88:S88"/>
    <mergeCell ref="T88:V88"/>
    <mergeCell ref="W88:Y88"/>
    <mergeCell ref="W87:Y87"/>
    <mergeCell ref="AA87:AC87"/>
    <mergeCell ref="AE87:AG87"/>
    <mergeCell ref="AV83:AY83"/>
    <mergeCell ref="AZ83:BB83"/>
    <mergeCell ref="BH83:BK83"/>
    <mergeCell ref="E87:G87"/>
    <mergeCell ref="H87:J87"/>
    <mergeCell ref="K87:M87"/>
    <mergeCell ref="N87:P87"/>
    <mergeCell ref="Q87:S87"/>
    <mergeCell ref="T87:V87"/>
    <mergeCell ref="AV90:AY90"/>
    <mergeCell ref="AZ90:BB90"/>
    <mergeCell ref="AE89:AG89"/>
    <mergeCell ref="BG85:BQ85"/>
    <mergeCell ref="BS85:CC85"/>
    <mergeCell ref="BN86:BQ86"/>
    <mergeCell ref="BZ86:CC86"/>
    <mergeCell ref="E94:G94"/>
    <mergeCell ref="H94:J94"/>
    <mergeCell ref="K94:M94"/>
    <mergeCell ref="N94:P94"/>
    <mergeCell ref="Q94:S94"/>
    <mergeCell ref="AA88:AC88"/>
    <mergeCell ref="AE88:AG88"/>
    <mergeCell ref="E89:G89"/>
    <mergeCell ref="H89:J89"/>
    <mergeCell ref="K89:M89"/>
    <mergeCell ref="N89:P89"/>
    <mergeCell ref="Q89:S89"/>
    <mergeCell ref="T89:V89"/>
    <mergeCell ref="W89:Y89"/>
    <mergeCell ref="AA89:AC89"/>
    <mergeCell ref="E90:G90"/>
    <mergeCell ref="H90:J90"/>
    <mergeCell ref="K90:M90"/>
    <mergeCell ref="N90:P90"/>
    <mergeCell ref="Q90:S90"/>
    <mergeCell ref="T90:V90"/>
    <mergeCell ref="W90:Y90"/>
    <mergeCell ref="AA90:AC90"/>
    <mergeCell ref="AE90:AG90"/>
    <mergeCell ref="AV92:AY92"/>
    <mergeCell ref="T96:V96"/>
    <mergeCell ref="W96:Y96"/>
    <mergeCell ref="AA96:AC96"/>
    <mergeCell ref="AE96:AG96"/>
    <mergeCell ref="AE98:AG98"/>
    <mergeCell ref="BT98:CC98"/>
    <mergeCell ref="AZ92:BB92"/>
    <mergeCell ref="W95:Y95"/>
    <mergeCell ref="AA95:AC95"/>
    <mergeCell ref="AE95:AG95"/>
    <mergeCell ref="AV91:AY91"/>
    <mergeCell ref="AZ91:BB91"/>
    <mergeCell ref="E96:G96"/>
    <mergeCell ref="H96:J96"/>
    <mergeCell ref="K96:M96"/>
    <mergeCell ref="N96:P96"/>
    <mergeCell ref="Q96:S96"/>
    <mergeCell ref="E95:G95"/>
    <mergeCell ref="H95:J95"/>
    <mergeCell ref="K95:M95"/>
    <mergeCell ref="N95:P95"/>
    <mergeCell ref="Q95:S95"/>
    <mergeCell ref="T95:V95"/>
    <mergeCell ref="T94:V94"/>
    <mergeCell ref="W94:Y94"/>
    <mergeCell ref="AA94:AC94"/>
    <mergeCell ref="AE94:AG94"/>
    <mergeCell ref="AV94:AY94"/>
    <mergeCell ref="AZ94:BB94"/>
    <mergeCell ref="E103:G103"/>
    <mergeCell ref="H103:J103"/>
    <mergeCell ref="K103:M103"/>
    <mergeCell ref="N103:P103"/>
    <mergeCell ref="Q103:S103"/>
    <mergeCell ref="T103:V103"/>
    <mergeCell ref="W103:Y103"/>
    <mergeCell ref="AA103:AC103"/>
    <mergeCell ref="AE103:AG103"/>
    <mergeCell ref="T102:V102"/>
    <mergeCell ref="W102:Y102"/>
    <mergeCell ref="AA102:AC102"/>
    <mergeCell ref="AE102:AG102"/>
    <mergeCell ref="AU98:BE98"/>
    <mergeCell ref="BH98:BQ98"/>
    <mergeCell ref="W97:Y97"/>
    <mergeCell ref="AA97:AC97"/>
    <mergeCell ref="AE97:AG97"/>
    <mergeCell ref="BL102:BN102"/>
    <mergeCell ref="BO102:BQ102"/>
    <mergeCell ref="E102:G102"/>
    <mergeCell ref="H102:J102"/>
    <mergeCell ref="K102:M102"/>
    <mergeCell ref="N102:P102"/>
    <mergeCell ref="Q102:S102"/>
    <mergeCell ref="E97:G97"/>
    <mergeCell ref="H97:J97"/>
    <mergeCell ref="K97:M97"/>
    <mergeCell ref="N97:P97"/>
    <mergeCell ref="Q97:S97"/>
    <mergeCell ref="T97:V97"/>
    <mergeCell ref="E105:G105"/>
    <mergeCell ref="H105:J105"/>
    <mergeCell ref="K105:M105"/>
    <mergeCell ref="N105:P105"/>
    <mergeCell ref="Q105:S105"/>
    <mergeCell ref="T105:V105"/>
    <mergeCell ref="W105:Y105"/>
    <mergeCell ref="AA105:AC105"/>
    <mergeCell ref="BS99:BS100"/>
    <mergeCell ref="BT99:BZ100"/>
    <mergeCell ref="CA99:CC100"/>
    <mergeCell ref="E104:G104"/>
    <mergeCell ref="H104:J104"/>
    <mergeCell ref="K104:M104"/>
    <mergeCell ref="N104:P104"/>
    <mergeCell ref="Q104:S104"/>
    <mergeCell ref="T104:V104"/>
    <mergeCell ref="W104:Y104"/>
    <mergeCell ref="AU99:AU100"/>
    <mergeCell ref="AV99:BB100"/>
    <mergeCell ref="BC99:BE100"/>
    <mergeCell ref="BG99:BG100"/>
    <mergeCell ref="BH99:BN100"/>
    <mergeCell ref="BO99:BQ100"/>
    <mergeCell ref="BO101:BQ101"/>
    <mergeCell ref="BT101:BV101"/>
    <mergeCell ref="BX101:BZ101"/>
    <mergeCell ref="CA101:CC101"/>
    <mergeCell ref="AV102:AX102"/>
    <mergeCell ref="AZ102:BB102"/>
    <mergeCell ref="BC102:BE102"/>
    <mergeCell ref="BH102:BJ102"/>
    <mergeCell ref="AE105:AG105"/>
    <mergeCell ref="AV101:AX101"/>
    <mergeCell ref="AZ101:BB101"/>
    <mergeCell ref="BC101:BE101"/>
    <mergeCell ref="BH101:BJ101"/>
    <mergeCell ref="BL101:BN101"/>
    <mergeCell ref="AA104:AC104"/>
    <mergeCell ref="AE104:AG104"/>
    <mergeCell ref="BX103:BZ103"/>
    <mergeCell ref="CA103:CC103"/>
    <mergeCell ref="E110:G110"/>
    <mergeCell ref="H110:J110"/>
    <mergeCell ref="K110:M110"/>
    <mergeCell ref="N110:P110"/>
    <mergeCell ref="Q110:S110"/>
    <mergeCell ref="T110:V110"/>
    <mergeCell ref="W110:Y110"/>
    <mergeCell ref="AA110:AC110"/>
    <mergeCell ref="BT102:BV102"/>
    <mergeCell ref="BX102:BZ102"/>
    <mergeCell ref="CA102:CC102"/>
    <mergeCell ref="AV103:AX103"/>
    <mergeCell ref="AZ103:BB103"/>
    <mergeCell ref="BC103:BE103"/>
    <mergeCell ref="BH103:BJ103"/>
    <mergeCell ref="BL103:BN103"/>
    <mergeCell ref="BO103:BQ103"/>
    <mergeCell ref="BT103:BV103"/>
    <mergeCell ref="BH105:BJ105"/>
    <mergeCell ref="BL105:BN105"/>
    <mergeCell ref="BO105:BQ105"/>
    <mergeCell ref="BT105:BV105"/>
    <mergeCell ref="BX105:BZ105"/>
    <mergeCell ref="CA105:CC105"/>
    <mergeCell ref="W111:Y111"/>
    <mergeCell ref="AA111:AC111"/>
    <mergeCell ref="AE111:AG111"/>
    <mergeCell ref="AV105:AX105"/>
    <mergeCell ref="AZ105:BB105"/>
    <mergeCell ref="BC105:BE105"/>
    <mergeCell ref="BO104:BQ104"/>
    <mergeCell ref="BT104:BV104"/>
    <mergeCell ref="BX104:BZ104"/>
    <mergeCell ref="CA104:CC104"/>
    <mergeCell ref="AE110:AG110"/>
    <mergeCell ref="AV104:AX104"/>
    <mergeCell ref="AZ104:BB104"/>
    <mergeCell ref="BC104:BE104"/>
    <mergeCell ref="BH104:BJ104"/>
    <mergeCell ref="BL104:BN104"/>
    <mergeCell ref="AE106:AG106"/>
    <mergeCell ref="BH106:BJ106"/>
    <mergeCell ref="BL106:BN106"/>
    <mergeCell ref="BO106:BQ106"/>
    <mergeCell ref="BT106:BV106"/>
    <mergeCell ref="BX106:BZ106"/>
    <mergeCell ref="CA106:CC106"/>
    <mergeCell ref="BH107:BJ107"/>
    <mergeCell ref="BL107:BN107"/>
    <mergeCell ref="BO107:BQ107"/>
    <mergeCell ref="BT107:BV107"/>
    <mergeCell ref="BX107:BZ107"/>
    <mergeCell ref="CA107:CC107"/>
    <mergeCell ref="BH108:BJ108"/>
    <mergeCell ref="AV106:AX106"/>
    <mergeCell ref="AZ106:BB106"/>
    <mergeCell ref="BC106:BE106"/>
    <mergeCell ref="E112:G112"/>
    <mergeCell ref="H112:J112"/>
    <mergeCell ref="K112:M112"/>
    <mergeCell ref="N112:P112"/>
    <mergeCell ref="Q112:S112"/>
    <mergeCell ref="T112:V112"/>
    <mergeCell ref="E111:G111"/>
    <mergeCell ref="H111:J111"/>
    <mergeCell ref="K111:M111"/>
    <mergeCell ref="N111:P111"/>
    <mergeCell ref="Q111:S111"/>
    <mergeCell ref="T111:V111"/>
    <mergeCell ref="AV108:AX108"/>
    <mergeCell ref="AZ108:BB108"/>
    <mergeCell ref="BC108:BE108"/>
    <mergeCell ref="AV107:AX107"/>
    <mergeCell ref="AZ107:BB107"/>
    <mergeCell ref="BC107:BE107"/>
    <mergeCell ref="W106:Y106"/>
    <mergeCell ref="AA106:AC106"/>
    <mergeCell ref="E113:G113"/>
    <mergeCell ref="H113:J113"/>
    <mergeCell ref="K113:M113"/>
    <mergeCell ref="N113:P113"/>
    <mergeCell ref="Q113:S113"/>
    <mergeCell ref="T113:V113"/>
    <mergeCell ref="BX109:BZ109"/>
    <mergeCell ref="CA109:CC109"/>
    <mergeCell ref="E118:G118"/>
    <mergeCell ref="H118:J118"/>
    <mergeCell ref="K118:M118"/>
    <mergeCell ref="N118:P118"/>
    <mergeCell ref="Q118:S118"/>
    <mergeCell ref="T118:V118"/>
    <mergeCell ref="W118:Y118"/>
    <mergeCell ref="AA118:AC118"/>
    <mergeCell ref="BT108:BV108"/>
    <mergeCell ref="BX108:BZ108"/>
    <mergeCell ref="CA108:CC108"/>
    <mergeCell ref="AV109:AX109"/>
    <mergeCell ref="AZ109:BB109"/>
    <mergeCell ref="BC109:BE109"/>
    <mergeCell ref="BH109:BJ109"/>
    <mergeCell ref="BL109:BN109"/>
    <mergeCell ref="BO109:BQ109"/>
    <mergeCell ref="BT109:BV109"/>
    <mergeCell ref="W112:Y112"/>
    <mergeCell ref="AA112:AC112"/>
    <mergeCell ref="AE112:AG112"/>
    <mergeCell ref="BL108:BN108"/>
    <mergeCell ref="BO108:BQ108"/>
    <mergeCell ref="N114:P114"/>
    <mergeCell ref="CA111:CC111"/>
    <mergeCell ref="W119:Y119"/>
    <mergeCell ref="AA119:AC119"/>
    <mergeCell ref="AE119:AG119"/>
    <mergeCell ref="AV111:AX111"/>
    <mergeCell ref="AZ111:BB111"/>
    <mergeCell ref="BC111:BE111"/>
    <mergeCell ref="BO110:BQ110"/>
    <mergeCell ref="BT110:BV110"/>
    <mergeCell ref="BX110:BZ110"/>
    <mergeCell ref="CA110:CC110"/>
    <mergeCell ref="BX113:BZ113"/>
    <mergeCell ref="BX114:BZ114"/>
    <mergeCell ref="BZ119:CC119"/>
    <mergeCell ref="W113:Y113"/>
    <mergeCell ref="AA113:AC113"/>
    <mergeCell ref="AE113:AG113"/>
    <mergeCell ref="K119:M119"/>
    <mergeCell ref="N119:P119"/>
    <mergeCell ref="Q119:S119"/>
    <mergeCell ref="T119:V119"/>
    <mergeCell ref="AE118:AG118"/>
    <mergeCell ref="AV110:AX110"/>
    <mergeCell ref="AZ110:BB110"/>
    <mergeCell ref="BC110:BE110"/>
    <mergeCell ref="BH110:BJ110"/>
    <mergeCell ref="BL110:BN110"/>
    <mergeCell ref="BH111:BJ111"/>
    <mergeCell ref="BL111:BN111"/>
    <mergeCell ref="BO111:BQ111"/>
    <mergeCell ref="BT111:BV111"/>
    <mergeCell ref="BT113:BW113"/>
    <mergeCell ref="AV114:AY114"/>
    <mergeCell ref="AZ114:BB114"/>
    <mergeCell ref="BH114:BK114"/>
    <mergeCell ref="BL114:BN114"/>
    <mergeCell ref="BT114:BW114"/>
    <mergeCell ref="BN119:BQ119"/>
    <mergeCell ref="BG118:BQ118"/>
    <mergeCell ref="BS118:CC118"/>
    <mergeCell ref="AV113:AY113"/>
    <mergeCell ref="AZ113:BB113"/>
    <mergeCell ref="BH113:BK113"/>
    <mergeCell ref="BL113:BN113"/>
    <mergeCell ref="Q114:S114"/>
    <mergeCell ref="T114:V114"/>
    <mergeCell ref="W114:Y114"/>
    <mergeCell ref="AA114:AC114"/>
    <mergeCell ref="AE114:AG114"/>
    <mergeCell ref="AA120:AC120"/>
    <mergeCell ref="AE120:AG120"/>
    <mergeCell ref="BX111:BZ111"/>
    <mergeCell ref="E127:G127"/>
    <mergeCell ref="H127:J127"/>
    <mergeCell ref="K127:M127"/>
    <mergeCell ref="N127:P127"/>
    <mergeCell ref="Q127:S127"/>
    <mergeCell ref="E126:G126"/>
    <mergeCell ref="H126:J126"/>
    <mergeCell ref="K126:M126"/>
    <mergeCell ref="N126:P126"/>
    <mergeCell ref="Q126:S126"/>
    <mergeCell ref="T126:V126"/>
    <mergeCell ref="W121:Y121"/>
    <mergeCell ref="E120:G120"/>
    <mergeCell ref="H120:J120"/>
    <mergeCell ref="K120:M120"/>
    <mergeCell ref="N120:P120"/>
    <mergeCell ref="Q120:S120"/>
    <mergeCell ref="T120:V120"/>
    <mergeCell ref="W120:Y120"/>
    <mergeCell ref="E122:G122"/>
    <mergeCell ref="H122:J122"/>
    <mergeCell ref="K122:M122"/>
    <mergeCell ref="N122:P122"/>
    <mergeCell ref="E119:G119"/>
    <mergeCell ref="H119:J119"/>
    <mergeCell ref="Q122:S122"/>
    <mergeCell ref="T122:V122"/>
    <mergeCell ref="W122:Y122"/>
    <mergeCell ref="E121:G121"/>
    <mergeCell ref="H121:J121"/>
    <mergeCell ref="K121:M121"/>
    <mergeCell ref="N121:P121"/>
    <mergeCell ref="Q121:S121"/>
    <mergeCell ref="T121:V121"/>
    <mergeCell ref="N130:P130"/>
    <mergeCell ref="Q130:S130"/>
    <mergeCell ref="T130:V130"/>
    <mergeCell ref="W130:Y130"/>
    <mergeCell ref="AA130:AC130"/>
    <mergeCell ref="AE130:AG130"/>
    <mergeCell ref="T127:V127"/>
    <mergeCell ref="W127:Y127"/>
    <mergeCell ref="AA127:AC127"/>
    <mergeCell ref="AE127:AG127"/>
    <mergeCell ref="W126:Y126"/>
    <mergeCell ref="AA126:AC126"/>
    <mergeCell ref="AE126:AG126"/>
    <mergeCell ref="AA122:AC122"/>
    <mergeCell ref="AE122:AG122"/>
    <mergeCell ref="AA121:AC121"/>
    <mergeCell ref="AE121:AG121"/>
    <mergeCell ref="AV123:AY123"/>
    <mergeCell ref="AZ123:BB123"/>
    <mergeCell ref="E132:G132"/>
    <mergeCell ref="H132:J132"/>
    <mergeCell ref="K132:M132"/>
    <mergeCell ref="N132:P132"/>
    <mergeCell ref="Q132:S132"/>
    <mergeCell ref="T132:V132"/>
    <mergeCell ref="W132:Y132"/>
    <mergeCell ref="AA132:AC132"/>
    <mergeCell ref="AA129:AC129"/>
    <mergeCell ref="AE129:AG129"/>
    <mergeCell ref="AV121:AY121"/>
    <mergeCell ref="AZ121:BB121"/>
    <mergeCell ref="AV122:AY122"/>
    <mergeCell ref="AZ122:BB122"/>
    <mergeCell ref="W128:Y128"/>
    <mergeCell ref="AA128:AC128"/>
    <mergeCell ref="AE128:AG128"/>
    <mergeCell ref="E129:G129"/>
    <mergeCell ref="H129:J129"/>
    <mergeCell ref="K129:M129"/>
    <mergeCell ref="N129:P129"/>
    <mergeCell ref="Q129:S129"/>
    <mergeCell ref="T129:V129"/>
    <mergeCell ref="W129:Y129"/>
    <mergeCell ref="E128:G128"/>
    <mergeCell ref="H128:J128"/>
    <mergeCell ref="K128:M128"/>
    <mergeCell ref="N128:P128"/>
    <mergeCell ref="Q128:S128"/>
    <mergeCell ref="T128:V128"/>
    <mergeCell ref="E135:G135"/>
    <mergeCell ref="H135:J135"/>
    <mergeCell ref="K135:M135"/>
    <mergeCell ref="N135:P135"/>
    <mergeCell ref="Q135:S135"/>
    <mergeCell ref="T135:V135"/>
    <mergeCell ref="W135:Y135"/>
    <mergeCell ref="AA135:AC135"/>
    <mergeCell ref="AE135:AG135"/>
    <mergeCell ref="AV125:AY125"/>
    <mergeCell ref="AZ125:BB125"/>
    <mergeCell ref="E134:G134"/>
    <mergeCell ref="H134:J134"/>
    <mergeCell ref="K134:M134"/>
    <mergeCell ref="N134:P134"/>
    <mergeCell ref="Q134:S134"/>
    <mergeCell ref="T134:V134"/>
    <mergeCell ref="W134:Y134"/>
    <mergeCell ref="AA134:AC134"/>
    <mergeCell ref="AE132:AG132"/>
    <mergeCell ref="E133:G133"/>
    <mergeCell ref="H133:J133"/>
    <mergeCell ref="K133:M133"/>
    <mergeCell ref="N133:P133"/>
    <mergeCell ref="Q133:S133"/>
    <mergeCell ref="T133:V133"/>
    <mergeCell ref="W133:Y133"/>
    <mergeCell ref="AA133:AC133"/>
    <mergeCell ref="AE133:AG133"/>
    <mergeCell ref="E130:G130"/>
    <mergeCell ref="H130:J130"/>
    <mergeCell ref="K130:M130"/>
    <mergeCell ref="AU127:BE127"/>
    <mergeCell ref="BH127:BQ127"/>
    <mergeCell ref="BT127:CC127"/>
    <mergeCell ref="AE136:AG136"/>
    <mergeCell ref="AU128:AU129"/>
    <mergeCell ref="AV128:BB129"/>
    <mergeCell ref="BC128:BE129"/>
    <mergeCell ref="BG128:BG129"/>
    <mergeCell ref="BH128:BN129"/>
    <mergeCell ref="BO128:BQ129"/>
    <mergeCell ref="AE134:AG134"/>
    <mergeCell ref="CA131:CC131"/>
    <mergeCell ref="AV132:AX132"/>
    <mergeCell ref="AZ132:BB132"/>
    <mergeCell ref="BC132:BE132"/>
    <mergeCell ref="BH132:BJ132"/>
    <mergeCell ref="BL132:BN132"/>
    <mergeCell ref="BO132:BQ132"/>
    <mergeCell ref="BT132:BV132"/>
    <mergeCell ref="BX132:BZ132"/>
    <mergeCell ref="CA132:CC132"/>
    <mergeCell ref="BX130:BZ130"/>
    <mergeCell ref="BH134:BJ134"/>
    <mergeCell ref="BL134:BN134"/>
    <mergeCell ref="BO134:BQ134"/>
    <mergeCell ref="BT134:BV134"/>
    <mergeCell ref="AV133:AX133"/>
    <mergeCell ref="AZ133:BB133"/>
    <mergeCell ref="BC133:BE133"/>
    <mergeCell ref="BS128:BS129"/>
    <mergeCell ref="BT128:BZ129"/>
    <mergeCell ref="CA128:CC129"/>
    <mergeCell ref="AV130:AX130"/>
    <mergeCell ref="AZ130:BB130"/>
    <mergeCell ref="BC130:BE130"/>
    <mergeCell ref="BH130:BJ130"/>
    <mergeCell ref="BL130:BN130"/>
    <mergeCell ref="BO130:BQ130"/>
    <mergeCell ref="BT130:BV130"/>
    <mergeCell ref="BC136:BE136"/>
    <mergeCell ref="BH136:BJ136"/>
    <mergeCell ref="BL136:BN136"/>
    <mergeCell ref="BO136:BQ136"/>
    <mergeCell ref="BT136:BV136"/>
    <mergeCell ref="BX136:BZ136"/>
    <mergeCell ref="CA136:CC136"/>
    <mergeCell ref="CA130:CC130"/>
    <mergeCell ref="AV131:AX131"/>
    <mergeCell ref="AZ131:BB131"/>
    <mergeCell ref="BC131:BE131"/>
    <mergeCell ref="BH131:BJ131"/>
    <mergeCell ref="BL131:BN131"/>
    <mergeCell ref="BO131:BQ131"/>
    <mergeCell ref="BT131:BV131"/>
    <mergeCell ref="BX131:BZ131"/>
    <mergeCell ref="BX134:BZ134"/>
    <mergeCell ref="CA134:CC134"/>
    <mergeCell ref="AV135:AX135"/>
    <mergeCell ref="AZ135:BB135"/>
    <mergeCell ref="BC135:BE135"/>
    <mergeCell ref="BH135:BJ135"/>
    <mergeCell ref="BL135:BN135"/>
    <mergeCell ref="BO135:BQ135"/>
    <mergeCell ref="BT135:BV135"/>
    <mergeCell ref="BT133:BV133"/>
    <mergeCell ref="BX133:BZ133"/>
    <mergeCell ref="CA133:CC133"/>
    <mergeCell ref="AV134:AX134"/>
    <mergeCell ref="AZ134:BB134"/>
    <mergeCell ref="BC134:BE134"/>
    <mergeCell ref="BX138:BZ138"/>
    <mergeCell ref="CA138:CC138"/>
    <mergeCell ref="AV139:AX139"/>
    <mergeCell ref="AZ139:BB139"/>
    <mergeCell ref="BC139:BE139"/>
    <mergeCell ref="BH139:BJ139"/>
    <mergeCell ref="BL139:BN139"/>
    <mergeCell ref="BO139:BQ139"/>
    <mergeCell ref="BT139:BV139"/>
    <mergeCell ref="BX139:BZ139"/>
    <mergeCell ref="BH133:BJ133"/>
    <mergeCell ref="BL133:BN133"/>
    <mergeCell ref="BO133:BQ133"/>
    <mergeCell ref="BT137:BV137"/>
    <mergeCell ref="BX137:BZ137"/>
    <mergeCell ref="CA137:CC137"/>
    <mergeCell ref="AV138:AX138"/>
    <mergeCell ref="AZ138:BB138"/>
    <mergeCell ref="BC138:BE138"/>
    <mergeCell ref="BH138:BJ138"/>
    <mergeCell ref="BL138:BN138"/>
    <mergeCell ref="BO138:BQ138"/>
    <mergeCell ref="BT138:BV138"/>
    <mergeCell ref="AV137:AX137"/>
    <mergeCell ref="AZ137:BB137"/>
    <mergeCell ref="BC137:BE137"/>
    <mergeCell ref="BH137:BJ137"/>
    <mergeCell ref="BL137:BN137"/>
    <mergeCell ref="BO137:BQ137"/>
    <mergeCell ref="CA135:CC135"/>
    <mergeCell ref="AV136:AX136"/>
    <mergeCell ref="AZ136:BB136"/>
    <mergeCell ref="AV143:AY143"/>
    <mergeCell ref="AZ143:BB143"/>
    <mergeCell ref="BH143:BK143"/>
    <mergeCell ref="BL143:BN143"/>
    <mergeCell ref="BT143:BW143"/>
    <mergeCell ref="BX143:BZ143"/>
    <mergeCell ref="AV142:AY142"/>
    <mergeCell ref="AZ142:BB142"/>
    <mergeCell ref="BH142:BK142"/>
    <mergeCell ref="BL142:BN142"/>
    <mergeCell ref="BT142:BW142"/>
    <mergeCell ref="BX142:BZ142"/>
    <mergeCell ref="CA139:CC139"/>
    <mergeCell ref="AV140:AX140"/>
    <mergeCell ref="AZ140:BB140"/>
    <mergeCell ref="BC140:BE140"/>
    <mergeCell ref="BH140:BJ140"/>
    <mergeCell ref="BL140:BN140"/>
    <mergeCell ref="BO140:BQ140"/>
    <mergeCell ref="BT140:BV140"/>
    <mergeCell ref="BX140:BZ140"/>
    <mergeCell ref="CA140:CC140"/>
    <mergeCell ref="BX135:BZ135"/>
    <mergeCell ref="AU154:BE154"/>
    <mergeCell ref="BH154:BQ154"/>
    <mergeCell ref="BT154:CC154"/>
    <mergeCell ref="AU155:AU156"/>
    <mergeCell ref="AV155:BB156"/>
    <mergeCell ref="BC155:BE156"/>
    <mergeCell ref="BG155:BG156"/>
    <mergeCell ref="BH155:BN156"/>
    <mergeCell ref="BO155:BQ156"/>
    <mergeCell ref="BS155:BS156"/>
    <mergeCell ref="AV149:AY149"/>
    <mergeCell ref="AZ149:BB149"/>
    <mergeCell ref="AV150:AY150"/>
    <mergeCell ref="AZ150:BB150"/>
    <mergeCell ref="AV152:AY152"/>
    <mergeCell ref="AZ152:BB152"/>
    <mergeCell ref="BG145:BQ145"/>
    <mergeCell ref="BS145:CC145"/>
    <mergeCell ref="BN146:BQ146"/>
    <mergeCell ref="BZ146:CC146"/>
    <mergeCell ref="AV148:AY148"/>
    <mergeCell ref="AZ148:BB148"/>
    <mergeCell ref="CA157:CC157"/>
    <mergeCell ref="AV158:AX158"/>
    <mergeCell ref="AZ158:BB158"/>
    <mergeCell ref="BC158:BE158"/>
    <mergeCell ref="BH158:BJ158"/>
    <mergeCell ref="BL158:BN158"/>
    <mergeCell ref="BO158:BQ158"/>
    <mergeCell ref="BT158:BV158"/>
    <mergeCell ref="BX158:BZ158"/>
    <mergeCell ref="CA158:CC158"/>
    <mergeCell ref="BT155:BZ156"/>
    <mergeCell ref="CA155:CC156"/>
    <mergeCell ref="AV157:AX157"/>
    <mergeCell ref="AZ157:BB157"/>
    <mergeCell ref="BC157:BE157"/>
    <mergeCell ref="BH157:BJ157"/>
    <mergeCell ref="BL157:BN157"/>
    <mergeCell ref="BO157:BQ157"/>
    <mergeCell ref="BT157:BV157"/>
    <mergeCell ref="BX157:BZ157"/>
    <mergeCell ref="BX160:BZ160"/>
    <mergeCell ref="CA160:CC160"/>
    <mergeCell ref="AV161:AX161"/>
    <mergeCell ref="AZ161:BB161"/>
    <mergeCell ref="BC161:BE161"/>
    <mergeCell ref="BH161:BJ161"/>
    <mergeCell ref="BL161:BN161"/>
    <mergeCell ref="BO161:BQ161"/>
    <mergeCell ref="BT161:BV161"/>
    <mergeCell ref="BX161:BZ161"/>
    <mergeCell ref="BT159:BV159"/>
    <mergeCell ref="BX159:BZ159"/>
    <mergeCell ref="CA159:CC159"/>
    <mergeCell ref="AV160:AX160"/>
    <mergeCell ref="AZ160:BB160"/>
    <mergeCell ref="BC160:BE160"/>
    <mergeCell ref="BH160:BJ160"/>
    <mergeCell ref="BL160:BN160"/>
    <mergeCell ref="BO160:BQ160"/>
    <mergeCell ref="BT160:BV160"/>
    <mergeCell ref="AV159:AX159"/>
    <mergeCell ref="AZ159:BB159"/>
    <mergeCell ref="BC159:BE159"/>
    <mergeCell ref="BH159:BJ159"/>
    <mergeCell ref="BL159:BN159"/>
    <mergeCell ref="BO159:BQ159"/>
    <mergeCell ref="BT163:BV163"/>
    <mergeCell ref="BX163:BZ163"/>
    <mergeCell ref="CA163:CC163"/>
    <mergeCell ref="AV164:AX164"/>
    <mergeCell ref="AZ164:BB164"/>
    <mergeCell ref="BC164:BE164"/>
    <mergeCell ref="BH164:BJ164"/>
    <mergeCell ref="BL164:BN164"/>
    <mergeCell ref="BO164:BQ164"/>
    <mergeCell ref="BT164:BV164"/>
    <mergeCell ref="AV163:AX163"/>
    <mergeCell ref="AZ163:BB163"/>
    <mergeCell ref="BC163:BE163"/>
    <mergeCell ref="BH163:BJ163"/>
    <mergeCell ref="BL163:BN163"/>
    <mergeCell ref="BO163:BQ163"/>
    <mergeCell ref="CA161:CC161"/>
    <mergeCell ref="AV162:AX162"/>
    <mergeCell ref="AZ162:BB162"/>
    <mergeCell ref="BC162:BE162"/>
    <mergeCell ref="BH162:BJ162"/>
    <mergeCell ref="BL162:BN162"/>
    <mergeCell ref="BO162:BQ162"/>
    <mergeCell ref="BT162:BV162"/>
    <mergeCell ref="BX162:BZ162"/>
    <mergeCell ref="CA162:CC162"/>
    <mergeCell ref="CA165:CC165"/>
    <mergeCell ref="AV166:AX166"/>
    <mergeCell ref="AZ166:BB166"/>
    <mergeCell ref="BC166:BE166"/>
    <mergeCell ref="BH166:BJ166"/>
    <mergeCell ref="BL166:BN166"/>
    <mergeCell ref="BO166:BQ166"/>
    <mergeCell ref="BT166:BV166"/>
    <mergeCell ref="BX166:BZ166"/>
    <mergeCell ref="CA166:CC166"/>
    <mergeCell ref="BX164:BZ164"/>
    <mergeCell ref="CA164:CC164"/>
    <mergeCell ref="AV165:AX165"/>
    <mergeCell ref="AZ165:BB165"/>
    <mergeCell ref="BC165:BE165"/>
    <mergeCell ref="BH165:BJ165"/>
    <mergeCell ref="BL165:BN165"/>
    <mergeCell ref="BO165:BQ165"/>
    <mergeCell ref="BT165:BV165"/>
    <mergeCell ref="BX165:BZ165"/>
    <mergeCell ref="AV170:AY170"/>
    <mergeCell ref="AZ170:BB170"/>
    <mergeCell ref="BH170:BK170"/>
    <mergeCell ref="BL170:BN170"/>
    <mergeCell ref="BT170:BW170"/>
    <mergeCell ref="BX170:BZ170"/>
    <mergeCell ref="BT167:BV167"/>
    <mergeCell ref="BX167:BZ167"/>
    <mergeCell ref="CA167:CC167"/>
    <mergeCell ref="AV169:AY169"/>
    <mergeCell ref="AZ169:BB169"/>
    <mergeCell ref="BH169:BK169"/>
    <mergeCell ref="BL169:BN169"/>
    <mergeCell ref="BT169:BW169"/>
    <mergeCell ref="BX169:BZ169"/>
    <mergeCell ref="AV167:AX167"/>
    <mergeCell ref="AZ167:BB167"/>
    <mergeCell ref="BC167:BE167"/>
    <mergeCell ref="BH167:BJ167"/>
    <mergeCell ref="BL167:BN167"/>
    <mergeCell ref="BO167:BQ167"/>
    <mergeCell ref="AU181:BE181"/>
    <mergeCell ref="BH181:BQ181"/>
    <mergeCell ref="BT181:CC181"/>
    <mergeCell ref="AU182:AU183"/>
    <mergeCell ref="AV182:BB183"/>
    <mergeCell ref="BC182:BE183"/>
    <mergeCell ref="BG182:BG183"/>
    <mergeCell ref="BH182:BN183"/>
    <mergeCell ref="BO182:BQ183"/>
    <mergeCell ref="BS182:BS183"/>
    <mergeCell ref="AV176:AY176"/>
    <mergeCell ref="AZ176:BB176"/>
    <mergeCell ref="AV177:AY177"/>
    <mergeCell ref="AZ177:BB177"/>
    <mergeCell ref="AV179:AY179"/>
    <mergeCell ref="AZ179:BB179"/>
    <mergeCell ref="BG172:BQ172"/>
    <mergeCell ref="BS172:CC172"/>
    <mergeCell ref="BN173:BQ173"/>
    <mergeCell ref="BZ173:CC173"/>
    <mergeCell ref="AV175:AY175"/>
    <mergeCell ref="AZ175:BB175"/>
    <mergeCell ref="CA184:CC184"/>
    <mergeCell ref="AV185:AX185"/>
    <mergeCell ref="AZ185:BB185"/>
    <mergeCell ref="BC185:BE185"/>
    <mergeCell ref="BH185:BJ185"/>
    <mergeCell ref="BL185:BN185"/>
    <mergeCell ref="BO185:BQ185"/>
    <mergeCell ref="BT185:BV185"/>
    <mergeCell ref="BX185:BZ185"/>
    <mergeCell ref="CA185:CC185"/>
    <mergeCell ref="BT182:BZ183"/>
    <mergeCell ref="CA182:CC183"/>
    <mergeCell ref="AV184:AX184"/>
    <mergeCell ref="AZ184:BB184"/>
    <mergeCell ref="BC184:BE184"/>
    <mergeCell ref="BH184:BJ184"/>
    <mergeCell ref="BL184:BN184"/>
    <mergeCell ref="BO184:BQ184"/>
    <mergeCell ref="BT184:BV184"/>
    <mergeCell ref="BX184:BZ184"/>
    <mergeCell ref="BX187:BZ187"/>
    <mergeCell ref="CA187:CC187"/>
    <mergeCell ref="AV188:AX188"/>
    <mergeCell ref="AZ188:BB188"/>
    <mergeCell ref="BC188:BE188"/>
    <mergeCell ref="BH188:BJ188"/>
    <mergeCell ref="BL188:BN188"/>
    <mergeCell ref="BO188:BQ188"/>
    <mergeCell ref="BT188:BV188"/>
    <mergeCell ref="BX188:BZ188"/>
    <mergeCell ref="BT186:BV186"/>
    <mergeCell ref="BX186:BZ186"/>
    <mergeCell ref="CA186:CC186"/>
    <mergeCell ref="AV187:AX187"/>
    <mergeCell ref="AZ187:BB187"/>
    <mergeCell ref="BC187:BE187"/>
    <mergeCell ref="BH187:BJ187"/>
    <mergeCell ref="BL187:BN187"/>
    <mergeCell ref="BO187:BQ187"/>
    <mergeCell ref="BT187:BV187"/>
    <mergeCell ref="AV186:AX186"/>
    <mergeCell ref="AZ186:BB186"/>
    <mergeCell ref="BC186:BE186"/>
    <mergeCell ref="BH186:BJ186"/>
    <mergeCell ref="BL186:BN186"/>
    <mergeCell ref="BO186:BQ186"/>
    <mergeCell ref="BT190:BV190"/>
    <mergeCell ref="BX190:BZ190"/>
    <mergeCell ref="CA190:CC190"/>
    <mergeCell ref="AV191:AX191"/>
    <mergeCell ref="AZ191:BB191"/>
    <mergeCell ref="BC191:BE191"/>
    <mergeCell ref="BH191:BJ191"/>
    <mergeCell ref="BL191:BN191"/>
    <mergeCell ref="BO191:BQ191"/>
    <mergeCell ref="BT191:BV191"/>
    <mergeCell ref="AV190:AX190"/>
    <mergeCell ref="AZ190:BB190"/>
    <mergeCell ref="BC190:BE190"/>
    <mergeCell ref="BH190:BJ190"/>
    <mergeCell ref="BL190:BN190"/>
    <mergeCell ref="BO190:BQ190"/>
    <mergeCell ref="CA188:CC188"/>
    <mergeCell ref="AV189:AX189"/>
    <mergeCell ref="AZ189:BB189"/>
    <mergeCell ref="BC189:BE189"/>
    <mergeCell ref="BH189:BJ189"/>
    <mergeCell ref="BL189:BN189"/>
    <mergeCell ref="BO189:BQ189"/>
    <mergeCell ref="BT189:BV189"/>
    <mergeCell ref="BX189:BZ189"/>
    <mergeCell ref="CA189:CC189"/>
    <mergeCell ref="CA192:CC192"/>
    <mergeCell ref="AV193:AX193"/>
    <mergeCell ref="AZ193:BB193"/>
    <mergeCell ref="BC193:BE193"/>
    <mergeCell ref="BH193:BJ193"/>
    <mergeCell ref="BL193:BN193"/>
    <mergeCell ref="BO193:BQ193"/>
    <mergeCell ref="BT193:BV193"/>
    <mergeCell ref="BX193:BZ193"/>
    <mergeCell ref="CA193:CC193"/>
    <mergeCell ref="BX191:BZ191"/>
    <mergeCell ref="CA191:CC191"/>
    <mergeCell ref="AV192:AX192"/>
    <mergeCell ref="AZ192:BB192"/>
    <mergeCell ref="BC192:BE192"/>
    <mergeCell ref="BH192:BJ192"/>
    <mergeCell ref="BL192:BN192"/>
    <mergeCell ref="BO192:BQ192"/>
    <mergeCell ref="BT192:BV192"/>
    <mergeCell ref="BX192:BZ192"/>
    <mergeCell ref="AV197:AY197"/>
    <mergeCell ref="AZ197:BB197"/>
    <mergeCell ref="BH197:BK197"/>
    <mergeCell ref="BL197:BN197"/>
    <mergeCell ref="BT197:BW197"/>
    <mergeCell ref="BX197:BZ197"/>
    <mergeCell ref="BT194:BV194"/>
    <mergeCell ref="BX194:BZ194"/>
    <mergeCell ref="CA194:CC194"/>
    <mergeCell ref="AV196:AY196"/>
    <mergeCell ref="AZ196:BB196"/>
    <mergeCell ref="BH196:BK196"/>
    <mergeCell ref="BL196:BN196"/>
    <mergeCell ref="BT196:BW196"/>
    <mergeCell ref="BX196:BZ196"/>
    <mergeCell ref="AV194:AX194"/>
    <mergeCell ref="AZ194:BB194"/>
    <mergeCell ref="BC194:BE194"/>
    <mergeCell ref="BH194:BJ194"/>
    <mergeCell ref="BL194:BN194"/>
    <mergeCell ref="BO194:BQ194"/>
    <mergeCell ref="AU208:BE208"/>
    <mergeCell ref="BH208:BQ208"/>
    <mergeCell ref="BT208:CC208"/>
    <mergeCell ref="AU209:AU210"/>
    <mergeCell ref="AV209:BB210"/>
    <mergeCell ref="BC209:BE210"/>
    <mergeCell ref="BG209:BG210"/>
    <mergeCell ref="BH209:BN210"/>
    <mergeCell ref="BO209:BQ210"/>
    <mergeCell ref="BS209:BS210"/>
    <mergeCell ref="AV203:AY203"/>
    <mergeCell ref="AZ203:BB203"/>
    <mergeCell ref="AV204:AY204"/>
    <mergeCell ref="AZ204:BB204"/>
    <mergeCell ref="AV206:AY206"/>
    <mergeCell ref="AZ206:BB206"/>
    <mergeCell ref="BG199:BQ199"/>
    <mergeCell ref="BS199:CC199"/>
    <mergeCell ref="BN200:BQ200"/>
    <mergeCell ref="BZ200:CC200"/>
    <mergeCell ref="AV202:AY202"/>
    <mergeCell ref="AZ202:BB202"/>
    <mergeCell ref="CA211:CC211"/>
    <mergeCell ref="AV212:AX212"/>
    <mergeCell ref="AZ212:BB212"/>
    <mergeCell ref="BC212:BE212"/>
    <mergeCell ref="BH212:BJ212"/>
    <mergeCell ref="BL212:BN212"/>
    <mergeCell ref="BO212:BQ212"/>
    <mergeCell ref="BT212:BV212"/>
    <mergeCell ref="BX212:BZ212"/>
    <mergeCell ref="CA212:CC212"/>
    <mergeCell ref="BT209:BZ210"/>
    <mergeCell ref="CA209:CC210"/>
    <mergeCell ref="AV211:AX211"/>
    <mergeCell ref="AZ211:BB211"/>
    <mergeCell ref="BC211:BE211"/>
    <mergeCell ref="BH211:BJ211"/>
    <mergeCell ref="BL211:BN211"/>
    <mergeCell ref="BO211:BQ211"/>
    <mergeCell ref="BT211:BV211"/>
    <mergeCell ref="BX211:BZ211"/>
    <mergeCell ref="BX214:BZ214"/>
    <mergeCell ref="CA214:CC214"/>
    <mergeCell ref="AV215:AX215"/>
    <mergeCell ref="AZ215:BB215"/>
    <mergeCell ref="BC215:BE215"/>
    <mergeCell ref="BH215:BJ215"/>
    <mergeCell ref="BL215:BN215"/>
    <mergeCell ref="BO215:BQ215"/>
    <mergeCell ref="BT215:BV215"/>
    <mergeCell ref="BX215:BZ215"/>
    <mergeCell ref="BT213:BV213"/>
    <mergeCell ref="BX213:BZ213"/>
    <mergeCell ref="CA213:CC213"/>
    <mergeCell ref="AV214:AX214"/>
    <mergeCell ref="AZ214:BB214"/>
    <mergeCell ref="BC214:BE214"/>
    <mergeCell ref="BH214:BJ214"/>
    <mergeCell ref="BL214:BN214"/>
    <mergeCell ref="BO214:BQ214"/>
    <mergeCell ref="BT214:BV214"/>
    <mergeCell ref="AV213:AX213"/>
    <mergeCell ref="AZ213:BB213"/>
    <mergeCell ref="BC213:BE213"/>
    <mergeCell ref="BH213:BJ213"/>
    <mergeCell ref="BL213:BN213"/>
    <mergeCell ref="BO213:BQ213"/>
    <mergeCell ref="BT217:BV217"/>
    <mergeCell ref="BX217:BZ217"/>
    <mergeCell ref="CA217:CC217"/>
    <mergeCell ref="AV218:AX218"/>
    <mergeCell ref="AZ218:BB218"/>
    <mergeCell ref="BC218:BE218"/>
    <mergeCell ref="BH218:BJ218"/>
    <mergeCell ref="BL218:BN218"/>
    <mergeCell ref="BO218:BQ218"/>
    <mergeCell ref="BT218:BV218"/>
    <mergeCell ref="AV217:AX217"/>
    <mergeCell ref="AZ217:BB217"/>
    <mergeCell ref="BC217:BE217"/>
    <mergeCell ref="BH217:BJ217"/>
    <mergeCell ref="BL217:BN217"/>
    <mergeCell ref="BO217:BQ217"/>
    <mergeCell ref="CA215:CC215"/>
    <mergeCell ref="AV216:AX216"/>
    <mergeCell ref="AZ216:BB216"/>
    <mergeCell ref="BC216:BE216"/>
    <mergeCell ref="BH216:BJ216"/>
    <mergeCell ref="BL216:BN216"/>
    <mergeCell ref="BO216:BQ216"/>
    <mergeCell ref="BT216:BV216"/>
    <mergeCell ref="BX216:BZ216"/>
    <mergeCell ref="CA216:CC216"/>
    <mergeCell ref="AV221:AX221"/>
    <mergeCell ref="AZ221:BB221"/>
    <mergeCell ref="BC221:BE221"/>
    <mergeCell ref="BH221:BJ221"/>
    <mergeCell ref="BL221:BN221"/>
    <mergeCell ref="BO221:BQ221"/>
    <mergeCell ref="CA219:CC219"/>
    <mergeCell ref="AV220:AX220"/>
    <mergeCell ref="AZ220:BB220"/>
    <mergeCell ref="BC220:BE220"/>
    <mergeCell ref="BH220:BJ220"/>
    <mergeCell ref="BL220:BN220"/>
    <mergeCell ref="BO220:BQ220"/>
    <mergeCell ref="BT220:BV220"/>
    <mergeCell ref="BX220:BZ220"/>
    <mergeCell ref="CA220:CC220"/>
    <mergeCell ref="BX218:BZ218"/>
    <mergeCell ref="CA218:CC218"/>
    <mergeCell ref="AV219:AX219"/>
    <mergeCell ref="AZ219:BB219"/>
    <mergeCell ref="BC219:BE219"/>
    <mergeCell ref="BH219:BJ219"/>
    <mergeCell ref="BL219:BN219"/>
    <mergeCell ref="BO219:BQ219"/>
    <mergeCell ref="BT219:BV219"/>
    <mergeCell ref="BX219:BZ219"/>
    <mergeCell ref="BT221:BV221"/>
    <mergeCell ref="BX221:BZ221"/>
    <mergeCell ref="CA221:CC221"/>
    <mergeCell ref="AV223:AY223"/>
    <mergeCell ref="AZ223:BB223"/>
    <mergeCell ref="BH223:BK223"/>
    <mergeCell ref="BL223:BN223"/>
    <mergeCell ref="BT223:BW223"/>
    <mergeCell ref="BX223:BZ223"/>
    <mergeCell ref="AV230:AY230"/>
    <mergeCell ref="AZ230:BB230"/>
    <mergeCell ref="AV231:AY231"/>
    <mergeCell ref="AZ231:BB231"/>
    <mergeCell ref="AV233:AY233"/>
    <mergeCell ref="AZ233:BB233"/>
    <mergeCell ref="BG226:BQ226"/>
    <mergeCell ref="BS226:CC226"/>
    <mergeCell ref="BN227:BQ227"/>
    <mergeCell ref="BZ227:CC227"/>
    <mergeCell ref="AV229:AY229"/>
    <mergeCell ref="AZ229:BB229"/>
    <mergeCell ref="AV224:AY224"/>
    <mergeCell ref="AZ224:BB224"/>
    <mergeCell ref="BH224:BK224"/>
    <mergeCell ref="BL224:BN224"/>
    <mergeCell ref="BT224:BW224"/>
    <mergeCell ref="BX224:BZ224"/>
  </mergeCells>
  <phoneticPr fontId="2"/>
  <conditionalFormatting sqref="F22 J22:J29 N22:N29 B22:B23 B29">
    <cfRule type="expression" dxfId="23" priority="56" stopIfTrue="1">
      <formula>$B22&lt;&gt;""</formula>
    </cfRule>
  </conditionalFormatting>
  <conditionalFormatting sqref="D22 D29">
    <cfRule type="expression" dxfId="22" priority="55" stopIfTrue="1">
      <formula>$B22&lt;&gt;""</formula>
    </cfRule>
  </conditionalFormatting>
  <conditionalFormatting sqref="B22:C22">
    <cfRule type="expression" dxfId="21" priority="54" stopIfTrue="1">
      <formula>AND($B22="",$D22&lt;&gt;"")</formula>
    </cfRule>
  </conditionalFormatting>
  <conditionalFormatting sqref="B23:C23 B29:C29">
    <cfRule type="expression" dxfId="20" priority="53" stopIfTrue="1">
      <formula>AND($B23="",$D23&lt;&gt;"")</formula>
    </cfRule>
  </conditionalFormatting>
  <conditionalFormatting sqref="AQ36:AS36 AJ31:AL35">
    <cfRule type="expression" dxfId="19" priority="57" stopIfTrue="1">
      <formula>SUM($AJ$32:$AL$34)&lt;&gt;0</formula>
    </cfRule>
  </conditionalFormatting>
  <conditionalFormatting sqref="AJ36:AL36">
    <cfRule type="expression" dxfId="18" priority="52" stopIfTrue="1">
      <formula>SUM($AJ$32:$AL$34)&lt;&gt;0</formula>
    </cfRule>
  </conditionalFormatting>
  <conditionalFormatting sqref="D40:D47">
    <cfRule type="expression" dxfId="17" priority="49" stopIfTrue="1">
      <formula>$M40&lt;&gt;""</formula>
    </cfRule>
  </conditionalFormatting>
  <conditionalFormatting sqref="M40:M47">
    <cfRule type="expression" dxfId="16" priority="50" stopIfTrue="1">
      <formula>$B12&lt;&gt;""</formula>
    </cfRule>
  </conditionalFormatting>
  <conditionalFormatting sqref="T40:T47">
    <cfRule type="expression" dxfId="15" priority="51" stopIfTrue="1">
      <formula>$B12&lt;&gt;""</formula>
    </cfRule>
  </conditionalFormatting>
  <conditionalFormatting sqref="E40:E47">
    <cfRule type="expression" dxfId="14" priority="48" stopIfTrue="1">
      <formula>$B12&lt;&gt;""</formula>
    </cfRule>
  </conditionalFormatting>
  <conditionalFormatting sqref="G40:G47">
    <cfRule type="expression" dxfId="13" priority="47" stopIfTrue="1">
      <formula>$B12&lt;&gt;""</formula>
    </cfRule>
  </conditionalFormatting>
  <conditionalFormatting sqref="I40:I47">
    <cfRule type="expression" dxfId="12" priority="46" stopIfTrue="1">
      <formula>$B12&lt;&gt;""</formula>
    </cfRule>
  </conditionalFormatting>
  <conditionalFormatting sqref="K40:K47">
    <cfRule type="expression" dxfId="11" priority="45" stopIfTrue="1">
      <formula>$B12&lt;&gt;""</formula>
    </cfRule>
  </conditionalFormatting>
  <conditionalFormatting sqref="V22:V29">
    <cfRule type="expression" dxfId="10" priority="44" stopIfTrue="1">
      <formula>$B22&lt;&gt;""</formula>
    </cfRule>
  </conditionalFormatting>
  <conditionalFormatting sqref="E22 E29">
    <cfRule type="expression" dxfId="9" priority="43" stopIfTrue="1">
      <formula>$B22&lt;&gt;""</formula>
    </cfRule>
  </conditionalFormatting>
  <conditionalFormatting sqref="E23">
    <cfRule type="expression" dxfId="8" priority="28" stopIfTrue="1">
      <formula>$B23&lt;&gt;""</formula>
    </cfRule>
  </conditionalFormatting>
  <conditionalFormatting sqref="F29">
    <cfRule type="expression" dxfId="7" priority="33" stopIfTrue="1">
      <formula>$B29&lt;&gt;""</formula>
    </cfRule>
  </conditionalFormatting>
  <conditionalFormatting sqref="D23">
    <cfRule type="expression" dxfId="6" priority="29" stopIfTrue="1">
      <formula>$B23&lt;&gt;""</formula>
    </cfRule>
  </conditionalFormatting>
  <conditionalFormatting sqref="F23">
    <cfRule type="expression" dxfId="5" priority="14" stopIfTrue="1">
      <formula>$B23&lt;&gt;""</formula>
    </cfRule>
  </conditionalFormatting>
  <conditionalFormatting sqref="B24:B28">
    <cfRule type="expression" dxfId="4" priority="5" stopIfTrue="1">
      <formula>$B24&lt;&gt;""</formula>
    </cfRule>
  </conditionalFormatting>
  <conditionalFormatting sqref="B24:C28">
    <cfRule type="expression" dxfId="3" priority="4" stopIfTrue="1">
      <formula>AND($B24="",$D24&lt;&gt;"")</formula>
    </cfRule>
  </conditionalFormatting>
  <conditionalFormatting sqref="E24:E28">
    <cfRule type="expression" dxfId="2" priority="2" stopIfTrue="1">
      <formula>$B24&lt;&gt;""</formula>
    </cfRule>
  </conditionalFormatting>
  <conditionalFormatting sqref="D24:D28">
    <cfRule type="expression" dxfId="1" priority="3" stopIfTrue="1">
      <formula>$B24&lt;&gt;""</formula>
    </cfRule>
  </conditionalFormatting>
  <conditionalFormatting sqref="F24:F28">
    <cfRule type="expression" dxfId="0" priority="1" stopIfTrue="1">
      <formula>$B24&lt;&gt;""</formula>
    </cfRule>
  </conditionalFormatting>
  <dataValidations count="2">
    <dataValidation type="list" allowBlank="1" showInputMessage="1" showErrorMessage="1" sqref="B22:C22">
      <formula1>$AO$40:$AO$41</formula1>
    </dataValidation>
    <dataValidation type="list" allowBlank="1" showInputMessage="1" showErrorMessage="1" sqref="B23:C29">
      <formula1>$AQ$40</formula1>
    </dataValidation>
  </dataValidations>
  <printOptions horizontalCentered="1"/>
  <pageMargins left="0.39370078740157483" right="0.39370078740157483" top="0.39370078740157483" bottom="0.39370078740157483" header="0" footer="0"/>
  <pageSetup paperSize="9" scale="7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Ｒ8年度飯塚市国保税試算表</vt:lpstr>
      <vt:lpstr>'Ｒ8年度飯塚市国保税試算表'!Print_Area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飯塚市役所</cp:lastModifiedBy>
  <cp:lastPrinted>2026-03-24T02:08:42Z</cp:lastPrinted>
  <dcterms:created xsi:type="dcterms:W3CDTF">2002-08-14T05:50:39Z</dcterms:created>
  <dcterms:modified xsi:type="dcterms:W3CDTF">2026-04-10T01:19:59Z</dcterms:modified>
</cp:coreProperties>
</file>